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d/Documents/zz-My Files/E-Presentations/Spreadsheets/"/>
    </mc:Choice>
  </mc:AlternateContent>
  <xr:revisionPtr revIDLastSave="0" documentId="13_ncr:1_{DA0C3B61-3306-D647-8456-7EAEF5AE486D}" xr6:coauthVersionLast="47" xr6:coauthVersionMax="47" xr10:uidLastSave="{00000000-0000-0000-0000-000000000000}"/>
  <bookViews>
    <workbookView xWindow="10100" yWindow="1620" windowWidth="38520" windowHeight="24880" tabRatio="629" xr2:uid="{00000000-000D-0000-FFFF-FFFF00000000}"/>
  </bookViews>
  <sheets>
    <sheet name="Title Page" sheetId="9" r:id="rId1"/>
    <sheet name="P &amp; L by Year" sheetId="8" r:id="rId2"/>
    <sheet name="P &amp; L by Qtr" sheetId="4" r:id="rId3"/>
    <sheet name="Sales Plan" sheetId="1" r:id="rId4"/>
    <sheet name="COGS" sheetId="10" r:id="rId5"/>
    <sheet name="Staffing Plan" sheetId="2" r:id="rId6"/>
    <sheet name="Expenses" sheetId="3" r:id="rId7"/>
    <sheet name="CapEx and Simple Cash Flow" sheetId="14" r:id="rId8"/>
    <sheet name="Balance Sheet" sheetId="11" r:id="rId9"/>
    <sheet name="Cash Flow" sheetId="5" r:id="rId10"/>
  </sheets>
  <definedNames>
    <definedName name="HTML1_1" hidden="1">"'[mitforum.xls]Sales Plan'!$A$1"</definedName>
    <definedName name="HTML1_10" hidden="1">""</definedName>
    <definedName name="HTML1_11" hidden="1">1</definedName>
    <definedName name="HTML1_12" hidden="1">"MyHTML.htm"</definedName>
    <definedName name="HTML1_2" hidden="1">1</definedName>
    <definedName name="HTML1_3" hidden="1">"$50K Entrepreneurship Competition Sales Plan"</definedName>
    <definedName name="HTML1_4" hidden="1">"Sales Plan"</definedName>
    <definedName name="HTML1_5" hidden="1">"Sales Plan model authored by Charlie Tillett of Frontier Software"</definedName>
    <definedName name="HTML1_6" hidden="1">-4146</definedName>
    <definedName name="HTML1_7" hidden="1">-4146</definedName>
    <definedName name="HTML1_8" hidden="1">"4/4/97"</definedName>
    <definedName name="HTML1_9" hidden="1">"$50K Entrepreneurship Competition"</definedName>
    <definedName name="HTML2_1" hidden="1">"'[mitforum.xls]Sales Plan'!$A$1:$P$32"</definedName>
    <definedName name="HTML2_10" hidden="1">""</definedName>
    <definedName name="HTML2_11" hidden="1">1</definedName>
    <definedName name="HTML2_12" hidden="1">"C:\My Documents\salesplan.html"</definedName>
    <definedName name="HTML2_2" hidden="1">1</definedName>
    <definedName name="HTML2_3" hidden="1">"Sales Plan"</definedName>
    <definedName name="HTML2_4" hidden="1">"Sales Plan"</definedName>
    <definedName name="HTML2_5" hidden="1">"Sales Plan model by Charlie Tillett of Frontier Software
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"[mitforum.xls]Headcount!$A$1:$P$54"</definedName>
    <definedName name="HTML3_10" hidden="1">""</definedName>
    <definedName name="HTML3_11" hidden="1">1</definedName>
    <definedName name="HTML3_12" hidden="1">"C:\My Documents\HiringPlan.html"</definedName>
    <definedName name="HTML3_2" hidden="1">1</definedName>
    <definedName name="HTML3_3" hidden="1">"Hiring Plan"</definedName>
    <definedName name="HTML3_4" hidden="1">"Hiring Plan"</definedName>
    <definedName name="HTML3_5" hidden="1">"Sales Plan model by Charlie Tillett of Frontier Software
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"'[mitforum.xls]Other Expenses'!$A$1:$P$23"</definedName>
    <definedName name="HTML4_10" hidden="1">""</definedName>
    <definedName name="HTML4_11" hidden="1">1</definedName>
    <definedName name="HTML4_12" hidden="1">"C:\My Documents\NonSalary.html"</definedName>
    <definedName name="HTML4_2" hidden="1">1</definedName>
    <definedName name="HTML4_3" hidden="1">"Non-Salary Expenses"</definedName>
    <definedName name="HTML4_4" hidden="1">"Non-Salary Expenses"</definedName>
    <definedName name="HTML4_5" hidden="1">"Financial model by Charlie Tillett of Frontier Software (charlie@frontier.com)
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"'[mitforum.xls]Income Statement'!$A$1:$Q$19"</definedName>
    <definedName name="HTML5_10" hidden="1">""</definedName>
    <definedName name="HTML5_11" hidden="1">1</definedName>
    <definedName name="HTML5_12" hidden="1">"C:\My Documents\IncomeStat.html"</definedName>
    <definedName name="HTML5_2" hidden="1">1</definedName>
    <definedName name="HTML5_3" hidden="1">"Income Statement"</definedName>
    <definedName name="HTML5_4" hidden="1">"Income Statement"</definedName>
    <definedName name="HTML5_5" hidden="1">"Financial model by Charlie Tillett of Frontier Software (charlie@frontier.com)"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"'[mitforum.xls]Balance Sheet &amp; Cash Flow'!$A$1:$O$22"</definedName>
    <definedName name="HTML6_10" hidden="1">""</definedName>
    <definedName name="HTML6_11" hidden="1">1</definedName>
    <definedName name="HTML6_12" hidden="1">"C:\My Documents\CashFlow.htm"</definedName>
    <definedName name="HTML6_2" hidden="1">1</definedName>
    <definedName name="HTML6_3" hidden="1">"Balance Sheet &amp; Cash Flow"</definedName>
    <definedName name="HTML6_4" hidden="1">"Balance Sheet &amp; Cash Flow"</definedName>
    <definedName name="HTML6_5" hidden="1">"Financial model by Charlie Tillett of Frontier Software (charlie@frontier.com)"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"'[mitforum.xls]Double Entry Primer'!$A$1:$X$17"</definedName>
    <definedName name="HTML7_10" hidden="1">""</definedName>
    <definedName name="HTML7_11" hidden="1">1</definedName>
    <definedName name="HTML7_12" hidden="1">"C:\My Documents\DoubleEntry.htm"</definedName>
    <definedName name="HTML7_2" hidden="1">1</definedName>
    <definedName name="HTML7_3" hidden="1">"Double Entry Primer"</definedName>
    <definedName name="HTML7_4" hidden="1">"Double Entry Primer"</definedName>
    <definedName name="HTML7_5" hidden="1">"Financial model by Charlie Tillett of Frontier Software (charlie@frontier.com)"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_xlnm.Print_Area" localSheetId="8">'Balance Sheet'!$A$1:$T$45</definedName>
    <definedName name="_xlnm.Print_Area" localSheetId="7">'CapEx and Simple Cash Flow'!$A$1:$T$33</definedName>
    <definedName name="_xlnm.Print_Area" localSheetId="9">'Cash Flow'!$A$1:$T$23</definedName>
    <definedName name="_xlnm.Print_Area" localSheetId="6">Expenses!$C$3:$T$40</definedName>
    <definedName name="_xlnm.Print_Area" localSheetId="3">'Sales Plan'!$E$13:$T$37</definedName>
    <definedName name="_xlnm.Print_Area" localSheetId="5">'Staffing Plan'!$D$4:$AO$38</definedName>
    <definedName name="_xlnm.Print_Titles" localSheetId="8">'Balance Sheet'!$A:$C</definedName>
    <definedName name="_xlnm.Print_Titles" localSheetId="7">'CapEx and Simple Cash Flow'!$A:$C</definedName>
    <definedName name="_xlnm.Print_Titles" localSheetId="9">'Cash Flow'!$A:$B</definedName>
    <definedName name="_xlnm.Print_Titles" localSheetId="4">COGS!$A:$D,COGS!$1:$2</definedName>
    <definedName name="_xlnm.Print_Titles" localSheetId="6">Expenses!$A:$B,Expenses!$1:$2</definedName>
    <definedName name="_xlnm.Print_Titles" localSheetId="2">'P &amp; L by Qtr'!$A:$B,'P &amp; L by Qtr'!$1:$2</definedName>
    <definedName name="_xlnm.Print_Titles" localSheetId="1">'P &amp; L by Year'!$A:$B,'P &amp; L by Year'!$1:$2</definedName>
    <definedName name="_xlnm.Print_Titles" localSheetId="3">'Sales Plan'!$A:$B,'Sales Plan'!$1:$2</definedName>
    <definedName name="_xlnm.Print_Titles" localSheetId="5">'Staffing Plan'!$A:$C,'Staffing Plan'!$1:$3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4" l="1"/>
  <c r="E23" i="14"/>
  <c r="S11" i="14"/>
  <c r="S23" i="14" s="1"/>
  <c r="R11" i="14"/>
  <c r="R6" i="11" s="1"/>
  <c r="Q11" i="14"/>
  <c r="Q6" i="11" s="1"/>
  <c r="P11" i="14"/>
  <c r="P6" i="11" s="1"/>
  <c r="O11" i="14"/>
  <c r="O6" i="11" s="1"/>
  <c r="N11" i="14"/>
  <c r="N6" i="11" s="1"/>
  <c r="O5" i="5" s="1"/>
  <c r="M11" i="14"/>
  <c r="M6" i="11" s="1"/>
  <c r="L11" i="14"/>
  <c r="L6" i="11" s="1"/>
  <c r="K11" i="14"/>
  <c r="K6" i="11" s="1"/>
  <c r="J11" i="14"/>
  <c r="J6" i="11" s="1"/>
  <c r="I11" i="14"/>
  <c r="I6" i="11" s="1"/>
  <c r="H11" i="14"/>
  <c r="H6" i="11" s="1"/>
  <c r="G11" i="14"/>
  <c r="G6" i="11" s="1"/>
  <c r="F11" i="14"/>
  <c r="F6" i="11" s="1"/>
  <c r="E11" i="14"/>
  <c r="E6" i="11" s="1"/>
  <c r="E14" i="1"/>
  <c r="F14" i="1"/>
  <c r="G14" i="1"/>
  <c r="G4" i="10" s="1"/>
  <c r="H14" i="1"/>
  <c r="H4" i="10" s="1"/>
  <c r="I14" i="1"/>
  <c r="J14" i="1"/>
  <c r="K14" i="1"/>
  <c r="K4" i="10" s="1"/>
  <c r="L14" i="1"/>
  <c r="L4" i="10" s="1"/>
  <c r="M14" i="1"/>
  <c r="N14" i="1"/>
  <c r="O14" i="1"/>
  <c r="O4" i="10" s="1"/>
  <c r="P14" i="1"/>
  <c r="P4" i="10" s="1"/>
  <c r="Q14" i="1"/>
  <c r="R14" i="1"/>
  <c r="S14" i="1"/>
  <c r="S4" i="10" s="1"/>
  <c r="T14" i="1"/>
  <c r="T4" i="10" s="1"/>
  <c r="E15" i="1"/>
  <c r="F15" i="1"/>
  <c r="G15" i="1"/>
  <c r="G5" i="10" s="1"/>
  <c r="H15" i="1"/>
  <c r="H5" i="10" s="1"/>
  <c r="I15" i="1"/>
  <c r="J15" i="1"/>
  <c r="K15" i="1"/>
  <c r="K5" i="10" s="1"/>
  <c r="L15" i="1"/>
  <c r="L5" i="10" s="1"/>
  <c r="M15" i="1"/>
  <c r="N15" i="1"/>
  <c r="O15" i="1"/>
  <c r="O5" i="10" s="1"/>
  <c r="P15" i="1"/>
  <c r="P5" i="10" s="1"/>
  <c r="Q15" i="1"/>
  <c r="R15" i="1"/>
  <c r="S15" i="1"/>
  <c r="S5" i="10" s="1"/>
  <c r="T15" i="1"/>
  <c r="T5" i="10" s="1"/>
  <c r="E16" i="1"/>
  <c r="F16" i="1"/>
  <c r="G16" i="1"/>
  <c r="G6" i="10" s="1"/>
  <c r="H16" i="1"/>
  <c r="H6" i="10" s="1"/>
  <c r="I16" i="1"/>
  <c r="J16" i="1"/>
  <c r="K16" i="1"/>
  <c r="K6" i="10" s="1"/>
  <c r="L16" i="1"/>
  <c r="L6" i="10" s="1"/>
  <c r="M16" i="1"/>
  <c r="N16" i="1"/>
  <c r="O16" i="1"/>
  <c r="O6" i="10" s="1"/>
  <c r="P16" i="1"/>
  <c r="P6" i="10" s="1"/>
  <c r="Q16" i="1"/>
  <c r="R16" i="1"/>
  <c r="S16" i="1"/>
  <c r="S6" i="10" s="1"/>
  <c r="T16" i="1"/>
  <c r="T6" i="10" s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E28" i="1"/>
  <c r="E4" i="4" s="1"/>
  <c r="E7" i="11" s="1"/>
  <c r="E6" i="5" s="1"/>
  <c r="F28" i="1"/>
  <c r="F4" i="4" s="1"/>
  <c r="I28" i="1"/>
  <c r="I4" i="4"/>
  <c r="J28" i="1"/>
  <c r="J36" i="1" s="1"/>
  <c r="L28" i="1"/>
  <c r="L36" i="1" s="1"/>
  <c r="M28" i="1"/>
  <c r="M4" i="4"/>
  <c r="N28" i="1"/>
  <c r="N36" i="1" s="1"/>
  <c r="Q28" i="1"/>
  <c r="Q4" i="4" s="1"/>
  <c r="R28" i="1"/>
  <c r="R36" i="1" s="1"/>
  <c r="E31" i="1"/>
  <c r="E32" i="1"/>
  <c r="E33" i="1"/>
  <c r="E37" i="1" s="1"/>
  <c r="E38" i="1" s="1"/>
  <c r="E36" i="1"/>
  <c r="I36" i="1"/>
  <c r="M36" i="1"/>
  <c r="Q36" i="1"/>
  <c r="E4" i="10"/>
  <c r="F4" i="10"/>
  <c r="I4" i="10"/>
  <c r="I24" i="10" s="1"/>
  <c r="J4" i="10"/>
  <c r="M4" i="10"/>
  <c r="N4" i="10"/>
  <c r="Q4" i="10"/>
  <c r="Q24" i="10" s="1"/>
  <c r="R4" i="10"/>
  <c r="E5" i="10"/>
  <c r="F5" i="10"/>
  <c r="I5" i="10"/>
  <c r="J5" i="10"/>
  <c r="M5" i="10"/>
  <c r="N5" i="10"/>
  <c r="Q5" i="10"/>
  <c r="R5" i="10"/>
  <c r="E6" i="10"/>
  <c r="F6" i="10"/>
  <c r="I6" i="10"/>
  <c r="J6" i="10"/>
  <c r="M6" i="10"/>
  <c r="N6" i="10"/>
  <c r="Q6" i="10"/>
  <c r="R6" i="10"/>
  <c r="E7" i="10"/>
  <c r="F7" i="10"/>
  <c r="F32" i="10" s="1"/>
  <c r="I7" i="10"/>
  <c r="I32" i="10" s="1"/>
  <c r="J7" i="10"/>
  <c r="J32" i="10" s="1"/>
  <c r="J31" i="10" s="1"/>
  <c r="M7" i="10"/>
  <c r="N7" i="10"/>
  <c r="N32" i="10" s="1"/>
  <c r="N31" i="10" s="1"/>
  <c r="Q7" i="10"/>
  <c r="Q32" i="10" s="1"/>
  <c r="Q31" i="10" s="1"/>
  <c r="R7" i="10"/>
  <c r="R32" i="10" s="1"/>
  <c r="E9" i="10"/>
  <c r="F9" i="10" s="1"/>
  <c r="E12" i="10"/>
  <c r="F12" i="10"/>
  <c r="G12" i="10"/>
  <c r="H12" i="10"/>
  <c r="M12" i="10"/>
  <c r="N12" i="10"/>
  <c r="O12" i="10"/>
  <c r="P12" i="10"/>
  <c r="Q12" i="10"/>
  <c r="R12" i="10"/>
  <c r="S12" i="10"/>
  <c r="T12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E20" i="10"/>
  <c r="F20" i="10"/>
  <c r="F25" i="10" s="1"/>
  <c r="G20" i="10"/>
  <c r="H20" i="10"/>
  <c r="I20" i="10"/>
  <c r="J20" i="10"/>
  <c r="J25" i="10" s="1"/>
  <c r="K20" i="10"/>
  <c r="L20" i="10"/>
  <c r="M20" i="10"/>
  <c r="N20" i="10"/>
  <c r="N25" i="10" s="1"/>
  <c r="O20" i="10"/>
  <c r="P20" i="10"/>
  <c r="Q20" i="10"/>
  <c r="R20" i="10"/>
  <c r="R25" i="10" s="1"/>
  <c r="S20" i="10"/>
  <c r="T20" i="10"/>
  <c r="E21" i="10"/>
  <c r="F21" i="10"/>
  <c r="G21" i="10"/>
  <c r="H21" i="10"/>
  <c r="I21" i="10"/>
  <c r="J21" i="10"/>
  <c r="J26" i="10" s="1"/>
  <c r="K21" i="10"/>
  <c r="L21" i="10"/>
  <c r="M21" i="10"/>
  <c r="M26" i="10" s="1"/>
  <c r="M27" i="10" s="1"/>
  <c r="M45" i="10" s="1"/>
  <c r="N21" i="10"/>
  <c r="N26" i="10" s="1"/>
  <c r="O21" i="10"/>
  <c r="P21" i="10"/>
  <c r="Q21" i="10"/>
  <c r="R21" i="10"/>
  <c r="S21" i="10"/>
  <c r="T21" i="10"/>
  <c r="E24" i="10"/>
  <c r="F24" i="10"/>
  <c r="F27" i="10" s="1"/>
  <c r="F45" i="10" s="1"/>
  <c r="J24" i="10"/>
  <c r="M24" i="10"/>
  <c r="N24" i="10"/>
  <c r="R24" i="10"/>
  <c r="R27" i="10" s="1"/>
  <c r="R45" i="10" s="1"/>
  <c r="E25" i="10"/>
  <c r="M25" i="10"/>
  <c r="E26" i="10"/>
  <c r="F26" i="10"/>
  <c r="R26" i="10"/>
  <c r="E27" i="10"/>
  <c r="E32" i="10"/>
  <c r="E31" i="10" s="1"/>
  <c r="E38" i="10" s="1"/>
  <c r="J34" i="10"/>
  <c r="M32" i="10"/>
  <c r="M31" i="10" s="1"/>
  <c r="M34" i="10" s="1"/>
  <c r="R31" i="10"/>
  <c r="R34" i="10" s="1"/>
  <c r="E37" i="10"/>
  <c r="F37" i="10"/>
  <c r="G37" i="10"/>
  <c r="H37" i="10"/>
  <c r="E40" i="10"/>
  <c r="F40" i="10"/>
  <c r="G40" i="10"/>
  <c r="H40" i="10"/>
  <c r="E45" i="10"/>
  <c r="E49" i="10"/>
  <c r="E69" i="10" s="1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E61" i="10"/>
  <c r="F61" i="10"/>
  <c r="G61" i="10"/>
  <c r="H61" i="10"/>
  <c r="E62" i="10"/>
  <c r="F62" i="10"/>
  <c r="G62" i="10"/>
  <c r="H62" i="10"/>
  <c r="E63" i="10"/>
  <c r="F63" i="10"/>
  <c r="G63" i="10"/>
  <c r="H63" i="10"/>
  <c r="E64" i="10"/>
  <c r="F64" i="10"/>
  <c r="G64" i="10"/>
  <c r="H64" i="10"/>
  <c r="G65" i="10"/>
  <c r="G68" i="10" s="1"/>
  <c r="AD4" i="2"/>
  <c r="I62" i="10" s="1"/>
  <c r="Z6" i="2"/>
  <c r="AA6" i="2"/>
  <c r="AB6" i="2"/>
  <c r="AC6" i="2"/>
  <c r="Z7" i="2"/>
  <c r="AA7" i="2"/>
  <c r="AB7" i="2"/>
  <c r="AC7" i="2"/>
  <c r="E8" i="2"/>
  <c r="F8" i="2"/>
  <c r="F12" i="2" s="1"/>
  <c r="G8" i="2"/>
  <c r="I8" i="2"/>
  <c r="J8" i="2"/>
  <c r="J12" i="2" s="1"/>
  <c r="AA8" i="2"/>
  <c r="AB8" i="2"/>
  <c r="AC8" i="2"/>
  <c r="Z9" i="2"/>
  <c r="AA9" i="2"/>
  <c r="AB9" i="2"/>
  <c r="AC9" i="2"/>
  <c r="Z10" i="2"/>
  <c r="AA10" i="2"/>
  <c r="AB10" i="2"/>
  <c r="AC10" i="2"/>
  <c r="Z11" i="2"/>
  <c r="AA11" i="2"/>
  <c r="AB11" i="2"/>
  <c r="AC11" i="2"/>
  <c r="G12" i="2"/>
  <c r="G5" i="3" s="1"/>
  <c r="H12" i="2"/>
  <c r="K12" i="2"/>
  <c r="K5" i="3" s="1"/>
  <c r="L12" i="2"/>
  <c r="M12" i="2"/>
  <c r="N12" i="2"/>
  <c r="N5" i="3" s="1"/>
  <c r="O12" i="2"/>
  <c r="P12" i="2"/>
  <c r="Q12" i="2"/>
  <c r="R12" i="2"/>
  <c r="R5" i="3" s="1"/>
  <c r="S12" i="2"/>
  <c r="S5" i="3" s="1"/>
  <c r="T12" i="2"/>
  <c r="T36" i="2"/>
  <c r="H15" i="2"/>
  <c r="I15" i="2"/>
  <c r="J15" i="2"/>
  <c r="K15" i="2"/>
  <c r="AF15" i="2" s="1"/>
  <c r="L15" i="2"/>
  <c r="L19" i="2" s="1"/>
  <c r="M15" i="2"/>
  <c r="N15" i="2"/>
  <c r="O15" i="2"/>
  <c r="P15" i="2"/>
  <c r="Q15" i="2"/>
  <c r="R15" i="2"/>
  <c r="S15" i="2"/>
  <c r="T15" i="2"/>
  <c r="Z15" i="2"/>
  <c r="AA15" i="2"/>
  <c r="AB15" i="2"/>
  <c r="AC15" i="2"/>
  <c r="AD15" i="2"/>
  <c r="Z16" i="2"/>
  <c r="AA16" i="2"/>
  <c r="AB16" i="2"/>
  <c r="AC16" i="2"/>
  <c r="AC19" i="2" s="1"/>
  <c r="H10" i="3" s="1"/>
  <c r="H13" i="3" s="1"/>
  <c r="AD16" i="2"/>
  <c r="E17" i="2"/>
  <c r="E19" i="2" s="1"/>
  <c r="F17" i="2"/>
  <c r="G17" i="2"/>
  <c r="H17" i="2"/>
  <c r="I17" i="2"/>
  <c r="AD17" i="2" s="1"/>
  <c r="J17" i="2"/>
  <c r="J19" i="2" s="1"/>
  <c r="J36" i="2" s="1"/>
  <c r="K17" i="2"/>
  <c r="K19" i="2" s="1"/>
  <c r="L17" i="2"/>
  <c r="M17" i="2"/>
  <c r="N17" i="2"/>
  <c r="O17" i="2"/>
  <c r="O19" i="2" s="1"/>
  <c r="P17" i="2"/>
  <c r="Q17" i="2"/>
  <c r="Q19" i="2" s="1"/>
  <c r="R17" i="2"/>
  <c r="S17" i="2"/>
  <c r="S19" i="2" s="1"/>
  <c r="T17" i="2"/>
  <c r="T19" i="2" s="1"/>
  <c r="Z17" i="2"/>
  <c r="AB17" i="2"/>
  <c r="AC17" i="2"/>
  <c r="Z18" i="2"/>
  <c r="AA18" i="2"/>
  <c r="AB18" i="2"/>
  <c r="AC18" i="2"/>
  <c r="AD18" i="2"/>
  <c r="G19" i="2"/>
  <c r="Z22" i="2"/>
  <c r="AA22" i="2"/>
  <c r="AB22" i="2"/>
  <c r="AC22" i="2"/>
  <c r="Z23" i="2"/>
  <c r="AA23" i="2"/>
  <c r="AB23" i="2"/>
  <c r="AC23" i="2"/>
  <c r="Z24" i="2"/>
  <c r="Z26" i="2" s="1"/>
  <c r="E16" i="3" s="1"/>
  <c r="E20" i="3" s="1"/>
  <c r="AA24" i="2"/>
  <c r="AB24" i="2"/>
  <c r="AC24" i="2"/>
  <c r="AD24" i="2"/>
  <c r="Z25" i="2"/>
  <c r="AA25" i="2"/>
  <c r="AB25" i="2"/>
  <c r="AC25" i="2"/>
  <c r="AC26" i="2" s="1"/>
  <c r="H16" i="3" s="1"/>
  <c r="H20" i="3" s="1"/>
  <c r="AD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Z29" i="2"/>
  <c r="AA29" i="2"/>
  <c r="AB29" i="2"/>
  <c r="AC29" i="2"/>
  <c r="Z30" i="2"/>
  <c r="AA30" i="2"/>
  <c r="AB30" i="2"/>
  <c r="AC30" i="2"/>
  <c r="Z31" i="2"/>
  <c r="Z34" i="2" s="1"/>
  <c r="E23" i="3" s="1"/>
  <c r="AA31" i="2"/>
  <c r="AB31" i="2"/>
  <c r="AC31" i="2"/>
  <c r="AD31" i="2"/>
  <c r="Z32" i="2"/>
  <c r="AA32" i="2"/>
  <c r="AB32" i="2"/>
  <c r="AC32" i="2"/>
  <c r="AD32" i="2"/>
  <c r="Z33" i="2"/>
  <c r="AA33" i="2"/>
  <c r="AB33" i="2"/>
  <c r="AC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AA34" i="2"/>
  <c r="F23" i="3" s="1"/>
  <c r="M5" i="3"/>
  <c r="O5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E25" i="3"/>
  <c r="F25" i="3"/>
  <c r="G25" i="3"/>
  <c r="H25" i="3"/>
  <c r="I25" i="3"/>
  <c r="J25" i="3"/>
  <c r="K25" i="3"/>
  <c r="L25" i="3"/>
  <c r="M25" i="3"/>
  <c r="N25" i="3"/>
  <c r="O25" i="3"/>
  <c r="P25" i="3"/>
  <c r="E15" i="14"/>
  <c r="D22" i="14"/>
  <c r="E12" i="11"/>
  <c r="F12" i="11" s="1"/>
  <c r="G12" i="11" s="1"/>
  <c r="H12" i="11" s="1"/>
  <c r="I12" i="11" s="1"/>
  <c r="J12" i="11" s="1"/>
  <c r="K12" i="11" s="1"/>
  <c r="L12" i="11" s="1"/>
  <c r="M12" i="11" s="1"/>
  <c r="N12" i="11" s="1"/>
  <c r="O12" i="11" s="1"/>
  <c r="P12" i="11" s="1"/>
  <c r="Q12" i="11" s="1"/>
  <c r="R12" i="11" s="1"/>
  <c r="S12" i="11" s="1"/>
  <c r="T12" i="11" s="1"/>
  <c r="D13" i="11"/>
  <c r="D21" i="11"/>
  <c r="D27" i="11" s="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D38" i="11"/>
  <c r="D30" i="11" s="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D8" i="5"/>
  <c r="D12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H5" i="3"/>
  <c r="AC12" i="2"/>
  <c r="H4" i="3" s="1"/>
  <c r="R19" i="2"/>
  <c r="N19" i="2"/>
  <c r="N36" i="2"/>
  <c r="AD8" i="2"/>
  <c r="I12" i="2"/>
  <c r="T5" i="3"/>
  <c r="P5" i="3"/>
  <c r="I37" i="10"/>
  <c r="I40" i="10"/>
  <c r="AE4" i="2"/>
  <c r="J63" i="10" s="1"/>
  <c r="AD9" i="2"/>
  <c r="AD10" i="2"/>
  <c r="AD11" i="2"/>
  <c r="I63" i="10"/>
  <c r="I61" i="10"/>
  <c r="Q34" i="10"/>
  <c r="J37" i="10"/>
  <c r="AF4" i="2"/>
  <c r="K63" i="10" s="1"/>
  <c r="AE22" i="2"/>
  <c r="AE32" i="2"/>
  <c r="I5" i="3"/>
  <c r="J5" i="3"/>
  <c r="H7" i="3"/>
  <c r="H19" i="4" s="1"/>
  <c r="K62" i="10"/>
  <c r="AF17" i="2"/>
  <c r="AF10" i="2"/>
  <c r="AF29" i="2"/>
  <c r="J36" i="3"/>
  <c r="J37" i="3" s="1"/>
  <c r="J39" i="3" s="1"/>
  <c r="M5" i="5" l="1"/>
  <c r="F23" i="14"/>
  <c r="J23" i="14"/>
  <c r="N23" i="14"/>
  <c r="R23" i="14"/>
  <c r="M23" i="14"/>
  <c r="J5" i="5"/>
  <c r="G23" i="14"/>
  <c r="K23" i="14"/>
  <c r="O23" i="14"/>
  <c r="Q23" i="14"/>
  <c r="T11" i="14"/>
  <c r="H23" i="14"/>
  <c r="L23" i="14"/>
  <c r="P23" i="14"/>
  <c r="Q5" i="5"/>
  <c r="S6" i="11"/>
  <c r="S5" i="5" s="1"/>
  <c r="G5" i="5"/>
  <c r="F5" i="5"/>
  <c r="K5" i="5"/>
  <c r="R5" i="5"/>
  <c r="N5" i="5"/>
  <c r="H5" i="5"/>
  <c r="L5" i="5"/>
  <c r="P5" i="5"/>
  <c r="E5" i="5"/>
  <c r="I5" i="5"/>
  <c r="N34" i="10"/>
  <c r="J27" i="10"/>
  <c r="J45" i="10" s="1"/>
  <c r="N27" i="10"/>
  <c r="N45" i="10" s="1"/>
  <c r="AF16" i="2"/>
  <c r="AF24" i="2"/>
  <c r="AF6" i="2"/>
  <c r="AF33" i="2"/>
  <c r="AG4" i="2"/>
  <c r="K64" i="10"/>
  <c r="K37" i="10"/>
  <c r="J39" i="10"/>
  <c r="AB19" i="2"/>
  <c r="G10" i="3" s="1"/>
  <c r="G13" i="3" s="1"/>
  <c r="L36" i="2"/>
  <c r="I64" i="10"/>
  <c r="I65" i="10" s="1"/>
  <c r="I68" i="10" s="1"/>
  <c r="F65" i="10"/>
  <c r="F68" i="10" s="1"/>
  <c r="Q26" i="10"/>
  <c r="I26" i="10"/>
  <c r="I27" i="10" s="1"/>
  <c r="I45" i="10" s="1"/>
  <c r="Q25" i="10"/>
  <c r="Q27" i="10" s="1"/>
  <c r="Q45" i="10" s="1"/>
  <c r="I25" i="10"/>
  <c r="T28" i="1"/>
  <c r="T26" i="10"/>
  <c r="P26" i="10"/>
  <c r="L26" i="10"/>
  <c r="H26" i="10"/>
  <c r="T25" i="10"/>
  <c r="P25" i="10"/>
  <c r="L25" i="10"/>
  <c r="H25" i="10"/>
  <c r="Z19" i="2"/>
  <c r="E10" i="3" s="1"/>
  <c r="E13" i="3" s="1"/>
  <c r="M19" i="2"/>
  <c r="S26" i="10"/>
  <c r="O26" i="10"/>
  <c r="K26" i="10"/>
  <c r="G26" i="10"/>
  <c r="S25" i="10"/>
  <c r="O25" i="10"/>
  <c r="K25" i="10"/>
  <c r="G25" i="10"/>
  <c r="AF32" i="2"/>
  <c r="AF25" i="2"/>
  <c r="AF8" i="2"/>
  <c r="AF7" i="2"/>
  <c r="K61" i="10"/>
  <c r="K65" i="10" s="1"/>
  <c r="K68" i="10" s="1"/>
  <c r="AE8" i="2"/>
  <c r="AE25" i="2"/>
  <c r="H19" i="2"/>
  <c r="H36" i="2" s="1"/>
  <c r="H65" i="10"/>
  <c r="H68" i="10" s="1"/>
  <c r="AF11" i="2"/>
  <c r="K40" i="10"/>
  <c r="K36" i="2"/>
  <c r="K36" i="3" s="1"/>
  <c r="K37" i="3" s="1"/>
  <c r="K39" i="3" s="1"/>
  <c r="E20" i="4"/>
  <c r="H20" i="4"/>
  <c r="N36" i="3"/>
  <c r="N37" i="3" s="1"/>
  <c r="N39" i="3" s="1"/>
  <c r="T4" i="4"/>
  <c r="T36" i="1"/>
  <c r="F5" i="3"/>
  <c r="AA12" i="2"/>
  <c r="F4" i="3" s="1"/>
  <c r="N26" i="3"/>
  <c r="J26" i="3"/>
  <c r="K5" i="14"/>
  <c r="K7" i="14" s="1"/>
  <c r="T26" i="3"/>
  <c r="T36" i="3"/>
  <c r="T37" i="3" s="1"/>
  <c r="T39" i="3" s="1"/>
  <c r="Q5" i="3"/>
  <c r="Q36" i="2"/>
  <c r="P28" i="1"/>
  <c r="H28" i="1"/>
  <c r="T7" i="10"/>
  <c r="T24" i="10"/>
  <c r="P7" i="10"/>
  <c r="P24" i="10"/>
  <c r="P27" i="10" s="1"/>
  <c r="P45" i="10" s="1"/>
  <c r="L7" i="10"/>
  <c r="L24" i="10"/>
  <c r="L27" i="10" s="1"/>
  <c r="L45" i="10" s="1"/>
  <c r="H7" i="10"/>
  <c r="H24" i="10"/>
  <c r="H27" i="10" s="1"/>
  <c r="H45" i="10" s="1"/>
  <c r="AE6" i="2"/>
  <c r="AE9" i="2"/>
  <c r="AE18" i="2"/>
  <c r="AE23" i="2"/>
  <c r="AE26" i="2" s="1"/>
  <c r="J16" i="3" s="1"/>
  <c r="J20" i="3" s="1"/>
  <c r="AE30" i="2"/>
  <c r="AE31" i="2"/>
  <c r="J62" i="10"/>
  <c r="AE7" i="2"/>
  <c r="AE10" i="2"/>
  <c r="AE15" i="2"/>
  <c r="AE24" i="2"/>
  <c r="AE33" i="2"/>
  <c r="D33" i="11"/>
  <c r="D35" i="11" s="1"/>
  <c r="D16" i="5"/>
  <c r="D17" i="5" s="1"/>
  <c r="D19" i="5" s="1"/>
  <c r="D23" i="5" s="1"/>
  <c r="E21" i="5" s="1"/>
  <c r="G36" i="2"/>
  <c r="AA17" i="2"/>
  <c r="AA19" i="2" s="1"/>
  <c r="F10" i="3" s="1"/>
  <c r="F13" i="3" s="1"/>
  <c r="F19" i="2"/>
  <c r="F36" i="2" s="1"/>
  <c r="L26" i="3"/>
  <c r="L5" i="14"/>
  <c r="L7" i="14" s="1"/>
  <c r="L36" i="3"/>
  <c r="L37" i="3" s="1"/>
  <c r="L39" i="3" s="1"/>
  <c r="E12" i="2"/>
  <c r="Z8" i="2"/>
  <c r="Z12" i="2" s="1"/>
  <c r="E4" i="3" s="1"/>
  <c r="F31" i="1"/>
  <c r="G31" i="1" s="1"/>
  <c r="H31" i="1" s="1"/>
  <c r="I31" i="1" s="1"/>
  <c r="J31" i="1" s="1"/>
  <c r="K31" i="1" s="1"/>
  <c r="L31" i="1" s="1"/>
  <c r="M31" i="1" s="1"/>
  <c r="N31" i="1" s="1"/>
  <c r="F32" i="1"/>
  <c r="F36" i="1"/>
  <c r="S28" i="1"/>
  <c r="O28" i="1"/>
  <c r="K28" i="1"/>
  <c r="G28" i="1"/>
  <c r="S7" i="10"/>
  <c r="S24" i="10"/>
  <c r="S27" i="10" s="1"/>
  <c r="S45" i="10" s="1"/>
  <c r="O7" i="10"/>
  <c r="O24" i="10"/>
  <c r="O27" i="10" s="1"/>
  <c r="O45" i="10" s="1"/>
  <c r="K7" i="10"/>
  <c r="K24" i="10"/>
  <c r="K27" i="10" s="1"/>
  <c r="K45" i="10" s="1"/>
  <c r="G7" i="10"/>
  <c r="G24" i="10"/>
  <c r="AE17" i="2"/>
  <c r="AE16" i="2"/>
  <c r="J40" i="10"/>
  <c r="J61" i="10"/>
  <c r="L5" i="3"/>
  <c r="AC34" i="2"/>
  <c r="H23" i="3" s="1"/>
  <c r="R36" i="2"/>
  <c r="AD19" i="2"/>
  <c r="I10" i="3" s="1"/>
  <c r="I13" i="3" s="1"/>
  <c r="M36" i="2"/>
  <c r="I19" i="2"/>
  <c r="I36" i="2" s="1"/>
  <c r="J5" i="14" s="1"/>
  <c r="J7" i="14" s="1"/>
  <c r="J38" i="10"/>
  <c r="J41" i="10" s="1"/>
  <c r="J44" i="10" s="1"/>
  <c r="E5" i="4"/>
  <c r="AG30" i="2"/>
  <c r="AG23" i="2"/>
  <c r="AG16" i="2"/>
  <c r="AF31" i="2"/>
  <c r="AF30" i="2"/>
  <c r="AF34" i="2" s="1"/>
  <c r="K23" i="3" s="1"/>
  <c r="AF23" i="2"/>
  <c r="AF22" i="2"/>
  <c r="AF18" i="2"/>
  <c r="AF19" i="2" s="1"/>
  <c r="K10" i="3" s="1"/>
  <c r="K13" i="3" s="1"/>
  <c r="AF9" i="2"/>
  <c r="AF12" i="2" s="1"/>
  <c r="K4" i="3" s="1"/>
  <c r="K7" i="3" s="1"/>
  <c r="AE29" i="2"/>
  <c r="AE11" i="2"/>
  <c r="J64" i="10"/>
  <c r="E34" i="10"/>
  <c r="E30" i="11"/>
  <c r="D5" i="11"/>
  <c r="D8" i="11" s="1"/>
  <c r="D15" i="11" s="1"/>
  <c r="AB34" i="2"/>
  <c r="G23" i="3" s="1"/>
  <c r="I31" i="10"/>
  <c r="I39" i="10"/>
  <c r="N4" i="4"/>
  <c r="L4" i="4"/>
  <c r="AB26" i="2"/>
  <c r="G16" i="3" s="1"/>
  <c r="G20" i="3" s="1"/>
  <c r="G20" i="4" s="1"/>
  <c r="P19" i="2"/>
  <c r="P36" i="2" s="1"/>
  <c r="O36" i="2"/>
  <c r="AD6" i="2"/>
  <c r="AD22" i="2"/>
  <c r="AD29" i="2"/>
  <c r="AD33" i="2"/>
  <c r="AD7" i="2"/>
  <c r="AD23" i="2"/>
  <c r="AD30" i="2"/>
  <c r="E65" i="10"/>
  <c r="E68" i="10" s="1"/>
  <c r="E71" i="10" s="1"/>
  <c r="E39" i="10"/>
  <c r="E41" i="10" s="1"/>
  <c r="E44" i="10" s="1"/>
  <c r="E47" i="10" s="1"/>
  <c r="F39" i="10"/>
  <c r="F31" i="10"/>
  <c r="R4" i="4"/>
  <c r="J4" i="4"/>
  <c r="S36" i="2"/>
  <c r="AA26" i="2"/>
  <c r="F16" i="3" s="1"/>
  <c r="F20" i="3" s="1"/>
  <c r="AB12" i="2"/>
  <c r="G4" i="3" s="1"/>
  <c r="G7" i="3" s="1"/>
  <c r="T6" i="11" l="1"/>
  <c r="T23" i="14"/>
  <c r="T5" i="5"/>
  <c r="H26" i="3"/>
  <c r="H28" i="3" s="1"/>
  <c r="H36" i="3"/>
  <c r="H37" i="3" s="1"/>
  <c r="H39" i="3" s="1"/>
  <c r="G27" i="10"/>
  <c r="G45" i="10" s="1"/>
  <c r="K26" i="3"/>
  <c r="K28" i="3" s="1"/>
  <c r="L37" i="10"/>
  <c r="AG32" i="2"/>
  <c r="L62" i="10"/>
  <c r="AG17" i="2"/>
  <c r="AG25" i="2"/>
  <c r="AG33" i="2"/>
  <c r="AG9" i="2"/>
  <c r="AG12" i="2" s="1"/>
  <c r="L4" i="3" s="1"/>
  <c r="L7" i="3" s="1"/>
  <c r="L64" i="10"/>
  <c r="L40" i="10"/>
  <c r="AG22" i="2"/>
  <c r="AG31" i="2"/>
  <c r="L63" i="10"/>
  <c r="AG11" i="2"/>
  <c r="AG6" i="2"/>
  <c r="AG15" i="2"/>
  <c r="AG24" i="2"/>
  <c r="AG7" i="2"/>
  <c r="AG8" i="2"/>
  <c r="AG29" i="2"/>
  <c r="L61" i="10"/>
  <c r="L65" i="10" s="1"/>
  <c r="L68" i="10" s="1"/>
  <c r="AG18" i="2"/>
  <c r="AG10" i="2"/>
  <c r="AH4" i="2"/>
  <c r="AG34" i="2"/>
  <c r="L23" i="3" s="1"/>
  <c r="L28" i="3" s="1"/>
  <c r="L21" i="4" s="1"/>
  <c r="AF26" i="2"/>
  <c r="K16" i="3" s="1"/>
  <c r="K20" i="3" s="1"/>
  <c r="K20" i="4" s="1"/>
  <c r="AG19" i="2"/>
  <c r="L10" i="3" s="1"/>
  <c r="L13" i="3" s="1"/>
  <c r="J47" i="10"/>
  <c r="F20" i="4"/>
  <c r="E20" i="8" s="1"/>
  <c r="T27" i="10"/>
  <c r="T45" i="10" s="1"/>
  <c r="E74" i="10"/>
  <c r="E9" i="4"/>
  <c r="J24" i="14"/>
  <c r="K19" i="4"/>
  <c r="P5" i="14"/>
  <c r="P7" i="14" s="1"/>
  <c r="P26" i="3"/>
  <c r="P36" i="3"/>
  <c r="P37" i="3" s="1"/>
  <c r="P39" i="3" s="1"/>
  <c r="J9" i="4"/>
  <c r="J74" i="10"/>
  <c r="E32" i="14"/>
  <c r="M36" i="3"/>
  <c r="M37" i="3" s="1"/>
  <c r="M39" i="3" s="1"/>
  <c r="M5" i="14"/>
  <c r="M7" i="14" s="1"/>
  <c r="M26" i="3"/>
  <c r="S32" i="10"/>
  <c r="S4" i="4"/>
  <c r="S36" i="1"/>
  <c r="G36" i="3"/>
  <c r="G37" i="3" s="1"/>
  <c r="G39" i="3" s="1"/>
  <c r="H5" i="14"/>
  <c r="H7" i="14" s="1"/>
  <c r="G26" i="3"/>
  <c r="G28" i="3" s="1"/>
  <c r="G5" i="14"/>
  <c r="G7" i="14" s="1"/>
  <c r="AE19" i="2"/>
  <c r="J10" i="3" s="1"/>
  <c r="J13" i="3" s="1"/>
  <c r="J20" i="4" s="1"/>
  <c r="S26" i="3"/>
  <c r="S36" i="3"/>
  <c r="S37" i="3" s="1"/>
  <c r="S39" i="3" s="1"/>
  <c r="S5" i="14"/>
  <c r="S7" i="14" s="1"/>
  <c r="AD26" i="2"/>
  <c r="I16" i="3" s="1"/>
  <c r="I20" i="3" s="1"/>
  <c r="I20" i="4" s="1"/>
  <c r="I34" i="10"/>
  <c r="I38" i="10"/>
  <c r="I41" i="10" s="1"/>
  <c r="I44" i="10" s="1"/>
  <c r="I47" i="10" s="1"/>
  <c r="F30" i="11"/>
  <c r="E16" i="5"/>
  <c r="E17" i="5" s="1"/>
  <c r="AE34" i="2"/>
  <c r="J23" i="3" s="1"/>
  <c r="J28" i="3" s="1"/>
  <c r="J21" i="4" s="1"/>
  <c r="J65" i="10"/>
  <c r="J68" i="10" s="1"/>
  <c r="G4" i="4"/>
  <c r="G36" i="1"/>
  <c r="E5" i="3"/>
  <c r="E7" i="3" s="1"/>
  <c r="E36" i="2"/>
  <c r="AE12" i="2"/>
  <c r="J4" i="3" s="1"/>
  <c r="J7" i="3" s="1"/>
  <c r="L32" i="10"/>
  <c r="T32" i="10"/>
  <c r="E10" i="4"/>
  <c r="E75" i="10"/>
  <c r="O36" i="3"/>
  <c r="O37" i="3" s="1"/>
  <c r="O39" i="3" s="1"/>
  <c r="O5" i="14"/>
  <c r="O7" i="14" s="1"/>
  <c r="O26" i="3"/>
  <c r="O4" i="4"/>
  <c r="O36" i="1"/>
  <c r="P32" i="10"/>
  <c r="F34" i="10"/>
  <c r="F38" i="10"/>
  <c r="F41" i="10" s="1"/>
  <c r="F44" i="10" s="1"/>
  <c r="F47" i="10" s="1"/>
  <c r="AD34" i="2"/>
  <c r="I23" i="3" s="1"/>
  <c r="K32" i="10"/>
  <c r="J14" i="4"/>
  <c r="AD12" i="2"/>
  <c r="I4" i="3" s="1"/>
  <c r="I7" i="3" s="1"/>
  <c r="R36" i="3"/>
  <c r="R37" i="3" s="1"/>
  <c r="R39" i="3" s="1"/>
  <c r="R5" i="14"/>
  <c r="R7" i="14" s="1"/>
  <c r="R26" i="3"/>
  <c r="G9" i="10"/>
  <c r="G32" i="10"/>
  <c r="O32" i="10"/>
  <c r="K4" i="4"/>
  <c r="H4" i="8" s="1"/>
  <c r="K36" i="1"/>
  <c r="F49" i="10"/>
  <c r="F69" i="10" s="1"/>
  <c r="F71" i="10" s="1"/>
  <c r="F33" i="1"/>
  <c r="G32" i="1"/>
  <c r="H4" i="4"/>
  <c r="H36" i="1"/>
  <c r="Q26" i="3"/>
  <c r="Q36" i="3"/>
  <c r="Q37" i="3" s="1"/>
  <c r="Q39" i="3" s="1"/>
  <c r="Q5" i="14"/>
  <c r="Q7" i="14" s="1"/>
  <c r="T5" i="14"/>
  <c r="T7" i="14" s="1"/>
  <c r="F7" i="3"/>
  <c r="N5" i="14"/>
  <c r="N7" i="14" s="1"/>
  <c r="G19" i="4"/>
  <c r="N4" i="8"/>
  <c r="E6" i="4"/>
  <c r="I26" i="3"/>
  <c r="I5" i="14"/>
  <c r="I7" i="14" s="1"/>
  <c r="I36" i="3"/>
  <c r="I37" i="3" s="1"/>
  <c r="I39" i="3" s="1"/>
  <c r="O31" i="1"/>
  <c r="P31" i="1" s="1"/>
  <c r="Q31" i="1" s="1"/>
  <c r="R31" i="1" s="1"/>
  <c r="S31" i="1" s="1"/>
  <c r="T31" i="1" s="1"/>
  <c r="L24" i="14"/>
  <c r="H32" i="10"/>
  <c r="H9" i="10"/>
  <c r="I9" i="10" s="1"/>
  <c r="J9" i="10" s="1"/>
  <c r="K9" i="10" s="1"/>
  <c r="L9" i="10" s="1"/>
  <c r="M9" i="10" s="1"/>
  <c r="N9" i="10" s="1"/>
  <c r="O9" i="10" s="1"/>
  <c r="P9" i="10" s="1"/>
  <c r="Q9" i="10" s="1"/>
  <c r="R9" i="10" s="1"/>
  <c r="S9" i="10" s="1"/>
  <c r="T9" i="10" s="1"/>
  <c r="P36" i="1"/>
  <c r="P4" i="4"/>
  <c r="K24" i="14"/>
  <c r="F36" i="3"/>
  <c r="F37" i="3" s="1"/>
  <c r="F39" i="3" s="1"/>
  <c r="F5" i="14"/>
  <c r="F7" i="14" s="1"/>
  <c r="F26" i="3"/>
  <c r="F28" i="3" s="1"/>
  <c r="F21" i="4" s="1"/>
  <c r="L19" i="4" l="1"/>
  <c r="K21" i="4"/>
  <c r="K30" i="3"/>
  <c r="K32" i="3" s="1"/>
  <c r="K19" i="11" s="1"/>
  <c r="G21" i="4"/>
  <c r="G22" i="4" s="1"/>
  <c r="G21" i="14" s="1"/>
  <c r="G30" i="3"/>
  <c r="G32" i="3" s="1"/>
  <c r="H21" i="4"/>
  <c r="H22" i="4" s="1"/>
  <c r="H21" i="14" s="1"/>
  <c r="H30" i="3"/>
  <c r="H32" i="3" s="1"/>
  <c r="H19" i="11" s="1"/>
  <c r="K22" i="4"/>
  <c r="K21" i="14" s="1"/>
  <c r="M37" i="10"/>
  <c r="AH8" i="2"/>
  <c r="M62" i="10"/>
  <c r="AH22" i="2"/>
  <c r="AH29" i="2"/>
  <c r="AH33" i="2"/>
  <c r="AH18" i="2"/>
  <c r="M40" i="10"/>
  <c r="AH10" i="2"/>
  <c r="AH6" i="2"/>
  <c r="AH24" i="2"/>
  <c r="AH31" i="2"/>
  <c r="M63" i="10"/>
  <c r="AI4" i="2"/>
  <c r="AH11" i="2"/>
  <c r="AH16" i="2"/>
  <c r="AH25" i="2"/>
  <c r="AH26" i="2" s="1"/>
  <c r="M16" i="3" s="1"/>
  <c r="M20" i="3" s="1"/>
  <c r="AH32" i="2"/>
  <c r="AH7" i="2"/>
  <c r="M38" i="10"/>
  <c r="M39" i="10"/>
  <c r="AH30" i="2"/>
  <c r="M64" i="10"/>
  <c r="AH9" i="2"/>
  <c r="M61" i="10"/>
  <c r="AH15" i="2"/>
  <c r="AH23" i="2"/>
  <c r="AH17" i="2"/>
  <c r="AG26" i="2"/>
  <c r="L16" i="3" s="1"/>
  <c r="L20" i="3" s="1"/>
  <c r="L20" i="4" s="1"/>
  <c r="H20" i="8" s="1"/>
  <c r="G39" i="10"/>
  <c r="G31" i="10"/>
  <c r="I28" i="3"/>
  <c r="I21" i="4" s="1"/>
  <c r="H21" i="8" s="1"/>
  <c r="T31" i="10"/>
  <c r="J30" i="3"/>
  <c r="J32" i="3" s="1"/>
  <c r="J19" i="4"/>
  <c r="J22" i="4" s="1"/>
  <c r="J21" i="14" s="1"/>
  <c r="I9" i="4"/>
  <c r="I74" i="10"/>
  <c r="P24" i="14"/>
  <c r="F9" i="4"/>
  <c r="F74" i="10"/>
  <c r="E5" i="14"/>
  <c r="E26" i="3"/>
  <c r="E28" i="3" s="1"/>
  <c r="E21" i="4" s="1"/>
  <c r="E36" i="3"/>
  <c r="E37" i="3" s="1"/>
  <c r="E39" i="3" s="1"/>
  <c r="E4" i="8"/>
  <c r="H24" i="14"/>
  <c r="M24" i="14"/>
  <c r="H32" i="1"/>
  <c r="G33" i="1"/>
  <c r="G49" i="10"/>
  <c r="G69" i="10" s="1"/>
  <c r="G71" i="10" s="1"/>
  <c r="I19" i="4"/>
  <c r="E19" i="4"/>
  <c r="T24" i="14"/>
  <c r="F37" i="1"/>
  <c r="F38" i="1" s="1"/>
  <c r="F5" i="4"/>
  <c r="O31" i="10"/>
  <c r="K31" i="10"/>
  <c r="K39" i="10"/>
  <c r="H22" i="14"/>
  <c r="L31" i="10"/>
  <c r="L39" i="10"/>
  <c r="S31" i="10"/>
  <c r="E11" i="4"/>
  <c r="E20" i="14" s="1"/>
  <c r="E14" i="4"/>
  <c r="F30" i="3"/>
  <c r="F32" i="3" s="1"/>
  <c r="G22" i="14" s="1"/>
  <c r="F19" i="4"/>
  <c r="F22" i="4" s="1"/>
  <c r="F21" i="14" s="1"/>
  <c r="F24" i="14"/>
  <c r="H31" i="10"/>
  <c r="H39" i="10"/>
  <c r="F19" i="14"/>
  <c r="E38" i="2"/>
  <c r="O24" i="14"/>
  <c r="K4" i="8"/>
  <c r="G19" i="11"/>
  <c r="I24" i="14"/>
  <c r="E15" i="4"/>
  <c r="N24" i="14"/>
  <c r="Q24" i="14"/>
  <c r="F10" i="4"/>
  <c r="F75" i="10"/>
  <c r="R24" i="14"/>
  <c r="J29" i="4"/>
  <c r="P31" i="10"/>
  <c r="G30" i="11"/>
  <c r="F16" i="5"/>
  <c r="F17" i="5" s="1"/>
  <c r="S24" i="14"/>
  <c r="G24" i="14"/>
  <c r="E76" i="10"/>
  <c r="E30" i="3" l="1"/>
  <c r="E32" i="3" s="1"/>
  <c r="I30" i="3"/>
  <c r="I32" i="3" s="1"/>
  <c r="E21" i="8"/>
  <c r="E7" i="14"/>
  <c r="E8" i="14" s="1"/>
  <c r="F8" i="14" s="1"/>
  <c r="G8" i="14" s="1"/>
  <c r="H8" i="14" s="1"/>
  <c r="I8" i="14" s="1"/>
  <c r="J8" i="14" s="1"/>
  <c r="K8" i="14" s="1"/>
  <c r="L8" i="14" s="1"/>
  <c r="M8" i="14" s="1"/>
  <c r="N8" i="14" s="1"/>
  <c r="O8" i="14" s="1"/>
  <c r="P8" i="14" s="1"/>
  <c r="Q8" i="14" s="1"/>
  <c r="R8" i="14" s="1"/>
  <c r="S8" i="14" s="1"/>
  <c r="T8" i="14" s="1"/>
  <c r="E11" i="11"/>
  <c r="M41" i="10"/>
  <c r="M44" i="10" s="1"/>
  <c r="M47" i="10" s="1"/>
  <c r="AH34" i="2"/>
  <c r="M23" i="3" s="1"/>
  <c r="M28" i="3" s="1"/>
  <c r="M21" i="4" s="1"/>
  <c r="K22" i="14"/>
  <c r="AH12" i="2"/>
  <c r="M4" i="3" s="1"/>
  <c r="M7" i="3" s="1"/>
  <c r="L30" i="3"/>
  <c r="L32" i="3" s="1"/>
  <c r="M65" i="10"/>
  <c r="M68" i="10" s="1"/>
  <c r="AH19" i="2"/>
  <c r="M10" i="3" s="1"/>
  <c r="M13" i="3" s="1"/>
  <c r="M20" i="4" s="1"/>
  <c r="AI17" i="2"/>
  <c r="N37" i="10"/>
  <c r="N64" i="10"/>
  <c r="AI8" i="2"/>
  <c r="AI16" i="2"/>
  <c r="AI25" i="2"/>
  <c r="AI31" i="2"/>
  <c r="AI32" i="2"/>
  <c r="N62" i="10"/>
  <c r="AI7" i="2"/>
  <c r="AI10" i="2"/>
  <c r="AI23" i="2"/>
  <c r="N39" i="10"/>
  <c r="AI33" i="2"/>
  <c r="N63" i="10"/>
  <c r="AJ4" i="2"/>
  <c r="N40" i="10"/>
  <c r="AI24" i="2"/>
  <c r="AI18" i="2"/>
  <c r="AI30" i="2"/>
  <c r="AI15" i="2"/>
  <c r="AI9" i="2"/>
  <c r="AI11" i="2"/>
  <c r="N61" i="10"/>
  <c r="AI29" i="2"/>
  <c r="AI6" i="2"/>
  <c r="AI22" i="2"/>
  <c r="AI26" i="2" s="1"/>
  <c r="N16" i="3" s="1"/>
  <c r="N20" i="3" s="1"/>
  <c r="N38" i="10"/>
  <c r="L22" i="4"/>
  <c r="L21" i="14" s="1"/>
  <c r="G21" i="11"/>
  <c r="G27" i="11" s="1"/>
  <c r="E19" i="8"/>
  <c r="E22" i="4"/>
  <c r="E21" i="14" s="1"/>
  <c r="G75" i="10"/>
  <c r="G10" i="4"/>
  <c r="K21" i="11"/>
  <c r="K27" i="11" s="1"/>
  <c r="I14" i="4"/>
  <c r="H30" i="11"/>
  <c r="G16" i="5"/>
  <c r="G17" i="5" s="1"/>
  <c r="E16" i="4"/>
  <c r="O34" i="10"/>
  <c r="O38" i="10"/>
  <c r="E22" i="14"/>
  <c r="E19" i="11"/>
  <c r="G37" i="1"/>
  <c r="G38" i="1" s="1"/>
  <c r="G5" i="4"/>
  <c r="F76" i="10"/>
  <c r="T34" i="10"/>
  <c r="S34" i="10"/>
  <c r="F6" i="4"/>
  <c r="F15" i="4"/>
  <c r="F30" i="4" s="1"/>
  <c r="I19" i="11"/>
  <c r="I22" i="14"/>
  <c r="H33" i="1"/>
  <c r="I32" i="1"/>
  <c r="H49" i="10"/>
  <c r="H69" i="10" s="1"/>
  <c r="H71" i="10" s="1"/>
  <c r="F14" i="4"/>
  <c r="F11" i="4"/>
  <c r="F20" i="14" s="1"/>
  <c r="P34" i="10"/>
  <c r="H38" i="10"/>
  <c r="H41" i="10" s="1"/>
  <c r="H44" i="10" s="1"/>
  <c r="H47" i="10" s="1"/>
  <c r="H34" i="10"/>
  <c r="F22" i="14"/>
  <c r="F19" i="11"/>
  <c r="G7" i="5" s="1"/>
  <c r="L34" i="10"/>
  <c r="L38" i="10"/>
  <c r="L41" i="10" s="1"/>
  <c r="L44" i="10" s="1"/>
  <c r="L47" i="10" s="1"/>
  <c r="H7" i="5"/>
  <c r="H21" i="11"/>
  <c r="H27" i="11" s="1"/>
  <c r="K34" i="10"/>
  <c r="K38" i="10"/>
  <c r="K41" i="10" s="1"/>
  <c r="K44" i="10" s="1"/>
  <c r="K47" i="10" s="1"/>
  <c r="I22" i="4"/>
  <c r="I21" i="14" s="1"/>
  <c r="H19" i="8"/>
  <c r="E24" i="14"/>
  <c r="J19" i="11"/>
  <c r="K7" i="5" s="1"/>
  <c r="J22" i="14"/>
  <c r="G34" i="10"/>
  <c r="G38" i="10"/>
  <c r="G41" i="10" s="1"/>
  <c r="G44" i="10" s="1"/>
  <c r="G47" i="10" s="1"/>
  <c r="E24" i="4" l="1"/>
  <c r="E32" i="11" s="1"/>
  <c r="E25" i="14"/>
  <c r="E27" i="14" s="1"/>
  <c r="F15" i="14" s="1"/>
  <c r="F25" i="14"/>
  <c r="F11" i="11"/>
  <c r="E13" i="11"/>
  <c r="E11" i="5" s="1"/>
  <c r="E12" i="5" s="1"/>
  <c r="AI12" i="2"/>
  <c r="N4" i="3" s="1"/>
  <c r="N7" i="3" s="1"/>
  <c r="N41" i="10"/>
  <c r="N44" i="10" s="1"/>
  <c r="N47" i="10" s="1"/>
  <c r="AI34" i="2"/>
  <c r="N23" i="3" s="1"/>
  <c r="N28" i="3" s="1"/>
  <c r="N21" i="4" s="1"/>
  <c r="AI19" i="2"/>
  <c r="N10" i="3" s="1"/>
  <c r="N13" i="3" s="1"/>
  <c r="N20" i="4" s="1"/>
  <c r="L22" i="14"/>
  <c r="L19" i="11"/>
  <c r="N65" i="10"/>
  <c r="N68" i="10" s="1"/>
  <c r="O40" i="10"/>
  <c r="O64" i="10"/>
  <c r="AJ10" i="2"/>
  <c r="AJ16" i="2"/>
  <c r="AJ23" i="2"/>
  <c r="AJ31" i="2"/>
  <c r="AJ15" i="2"/>
  <c r="O62" i="10"/>
  <c r="AJ7" i="2"/>
  <c r="AJ18" i="2"/>
  <c r="AJ32" i="2"/>
  <c r="AJ25" i="2"/>
  <c r="AJ30" i="2"/>
  <c r="AJ8" i="2"/>
  <c r="AJ22" i="2"/>
  <c r="AJ33" i="2"/>
  <c r="O61" i="10"/>
  <c r="O65" i="10" s="1"/>
  <c r="O68" i="10" s="1"/>
  <c r="AJ11" i="2"/>
  <c r="AJ24" i="2"/>
  <c r="AJ9" i="2"/>
  <c r="AJ29" i="2"/>
  <c r="AJ34" i="2" s="1"/>
  <c r="O23" i="3" s="1"/>
  <c r="O28" i="3" s="1"/>
  <c r="O21" i="4" s="1"/>
  <c r="AJ6" i="2"/>
  <c r="AK4" i="2"/>
  <c r="AJ17" i="2"/>
  <c r="O37" i="10"/>
  <c r="O41" i="10" s="1"/>
  <c r="O44" i="10" s="1"/>
  <c r="O47" i="10" s="1"/>
  <c r="O63" i="10"/>
  <c r="O39" i="10"/>
  <c r="M19" i="4"/>
  <c r="M30" i="3"/>
  <c r="M32" i="3" s="1"/>
  <c r="M9" i="4"/>
  <c r="M14" i="4" s="1"/>
  <c r="M29" i="4" s="1"/>
  <c r="M74" i="10"/>
  <c r="G9" i="4"/>
  <c r="G74" i="10"/>
  <c r="G76" i="10" s="1"/>
  <c r="L74" i="10"/>
  <c r="L9" i="4"/>
  <c r="F29" i="4"/>
  <c r="F16" i="4"/>
  <c r="H37" i="1"/>
  <c r="H38" i="1" s="1"/>
  <c r="H5" i="4"/>
  <c r="E7" i="5"/>
  <c r="E21" i="11"/>
  <c r="E27" i="11" s="1"/>
  <c r="I30" i="11"/>
  <c r="H16" i="5"/>
  <c r="H17" i="5" s="1"/>
  <c r="E22" i="8"/>
  <c r="F7" i="5"/>
  <c r="F21" i="11"/>
  <c r="F27" i="11" s="1"/>
  <c r="K74" i="10"/>
  <c r="K9" i="4"/>
  <c r="F38" i="2"/>
  <c r="G19" i="14"/>
  <c r="F7" i="11"/>
  <c r="F6" i="5" s="1"/>
  <c r="I29" i="4"/>
  <c r="J7" i="5"/>
  <c r="J21" i="11"/>
  <c r="J27" i="11" s="1"/>
  <c r="J32" i="1"/>
  <c r="I33" i="1"/>
  <c r="I49" i="10"/>
  <c r="I69" i="10" s="1"/>
  <c r="I71" i="10" s="1"/>
  <c r="H22" i="8"/>
  <c r="H9" i="4"/>
  <c r="H74" i="10"/>
  <c r="H75" i="10"/>
  <c r="H10" i="4"/>
  <c r="E10" i="8" s="1"/>
  <c r="I7" i="5"/>
  <c r="I21" i="11"/>
  <c r="I27" i="11" s="1"/>
  <c r="G15" i="4"/>
  <c r="G30" i="4" s="1"/>
  <c r="G6" i="4"/>
  <c r="E4" i="5"/>
  <c r="E33" i="11"/>
  <c r="F27" i="14" l="1"/>
  <c r="G15" i="14" s="1"/>
  <c r="E8" i="5"/>
  <c r="E19" i="5" s="1"/>
  <c r="G11" i="11"/>
  <c r="F13" i="11"/>
  <c r="F11" i="5" s="1"/>
  <c r="F12" i="5" s="1"/>
  <c r="O74" i="10"/>
  <c r="O9" i="4"/>
  <c r="AK16" i="2"/>
  <c r="AK15" i="2"/>
  <c r="AK6" i="2"/>
  <c r="AK8" i="2"/>
  <c r="AK25" i="2"/>
  <c r="AK29" i="2"/>
  <c r="AK34" i="2" s="1"/>
  <c r="P23" i="3" s="1"/>
  <c r="P28" i="3" s="1"/>
  <c r="P21" i="4" s="1"/>
  <c r="K21" i="8" s="1"/>
  <c r="P62" i="10"/>
  <c r="AK18" i="2"/>
  <c r="AK11" i="2"/>
  <c r="P63" i="10"/>
  <c r="AK32" i="2"/>
  <c r="AK17" i="2"/>
  <c r="AK10" i="2"/>
  <c r="AK24" i="2"/>
  <c r="AK7" i="2"/>
  <c r="AK33" i="2"/>
  <c r="AL4" i="2"/>
  <c r="AK23" i="2"/>
  <c r="AK9" i="2"/>
  <c r="AK31" i="2"/>
  <c r="AK22" i="2"/>
  <c r="P37" i="10"/>
  <c r="AK30" i="2"/>
  <c r="P40" i="10"/>
  <c r="P64" i="10"/>
  <c r="P61" i="10"/>
  <c r="P65" i="10" s="1"/>
  <c r="P68" i="10" s="1"/>
  <c r="P39" i="10"/>
  <c r="P38" i="10"/>
  <c r="AJ26" i="2"/>
  <c r="O16" i="3" s="1"/>
  <c r="O20" i="3" s="1"/>
  <c r="AJ19" i="2"/>
  <c r="O10" i="3" s="1"/>
  <c r="O13" i="3" s="1"/>
  <c r="O20" i="4" s="1"/>
  <c r="AJ12" i="2"/>
  <c r="O4" i="3" s="1"/>
  <c r="O7" i="3" s="1"/>
  <c r="L7" i="5"/>
  <c r="L21" i="11"/>
  <c r="L27" i="11" s="1"/>
  <c r="N9" i="4"/>
  <c r="N14" i="4" s="1"/>
  <c r="N29" i="4" s="1"/>
  <c r="N74" i="10"/>
  <c r="M19" i="11"/>
  <c r="M22" i="14"/>
  <c r="M22" i="4"/>
  <c r="M21" i="14" s="1"/>
  <c r="N19" i="4"/>
  <c r="N22" i="4" s="1"/>
  <c r="N21" i="14" s="1"/>
  <c r="N30" i="3"/>
  <c r="N32" i="3" s="1"/>
  <c r="K14" i="4"/>
  <c r="H9" i="8"/>
  <c r="G11" i="4"/>
  <c r="G20" i="14" s="1"/>
  <c r="G25" i="14" s="1"/>
  <c r="G27" i="14" s="1"/>
  <c r="H15" i="14" s="1"/>
  <c r="G14" i="4"/>
  <c r="E9" i="8"/>
  <c r="E11" i="8" s="1"/>
  <c r="I10" i="4"/>
  <c r="I75" i="10"/>
  <c r="I76" i="10" s="1"/>
  <c r="O14" i="4"/>
  <c r="H76" i="10"/>
  <c r="I5" i="4"/>
  <c r="I37" i="1"/>
  <c r="I38" i="1" s="1"/>
  <c r="E35" i="11"/>
  <c r="E5" i="11" s="1"/>
  <c r="H15" i="4"/>
  <c r="H30" i="4" s="1"/>
  <c r="H6" i="4"/>
  <c r="E5" i="8"/>
  <c r="L14" i="4"/>
  <c r="H19" i="14"/>
  <c r="G38" i="2"/>
  <c r="G7" i="11"/>
  <c r="G6" i="5" s="1"/>
  <c r="H11" i="4"/>
  <c r="H20" i="14" s="1"/>
  <c r="H14" i="4"/>
  <c r="K32" i="1"/>
  <c r="J49" i="10"/>
  <c r="J69" i="10" s="1"/>
  <c r="J71" i="10" s="1"/>
  <c r="J33" i="1"/>
  <c r="E31" i="14"/>
  <c r="E33" i="14" s="1"/>
  <c r="E23" i="5"/>
  <c r="F21" i="5" s="1"/>
  <c r="J30" i="11"/>
  <c r="I16" i="5"/>
  <c r="I17" i="5" s="1"/>
  <c r="F24" i="4"/>
  <c r="F31" i="4"/>
  <c r="H11" i="11" l="1"/>
  <c r="G13" i="11"/>
  <c r="G11" i="5" s="1"/>
  <c r="G12" i="5" s="1"/>
  <c r="AK26" i="2"/>
  <c r="P16" i="3" s="1"/>
  <c r="P20" i="3" s="1"/>
  <c r="AL9" i="2"/>
  <c r="Q62" i="10"/>
  <c r="AL7" i="2"/>
  <c r="Q38" i="10"/>
  <c r="Q37" i="10"/>
  <c r="AL18" i="2"/>
  <c r="AL22" i="2"/>
  <c r="AL26" i="2" s="1"/>
  <c r="Q16" i="3" s="1"/>
  <c r="Q20" i="3" s="1"/>
  <c r="Q63" i="10"/>
  <c r="AL17" i="2"/>
  <c r="AL24" i="2"/>
  <c r="AL11" i="2"/>
  <c r="Q61" i="10"/>
  <c r="Q40" i="10"/>
  <c r="AL25" i="2"/>
  <c r="Q39" i="10"/>
  <c r="Q64" i="10"/>
  <c r="AL6" i="2"/>
  <c r="AL32" i="2"/>
  <c r="AL33" i="2"/>
  <c r="AL23" i="2"/>
  <c r="AL31" i="2"/>
  <c r="AL29" i="2"/>
  <c r="AL15" i="2"/>
  <c r="AL19" i="2" s="1"/>
  <c r="Q10" i="3" s="1"/>
  <c r="Q13" i="3" s="1"/>
  <c r="AL16" i="2"/>
  <c r="AL30" i="2"/>
  <c r="AM4" i="2"/>
  <c r="AL8" i="2"/>
  <c r="AL10" i="2"/>
  <c r="N22" i="14"/>
  <c r="N19" i="11"/>
  <c r="N21" i="11" s="1"/>
  <c r="N27" i="11" s="1"/>
  <c r="O19" i="4"/>
  <c r="O22" i="4" s="1"/>
  <c r="O21" i="14" s="1"/>
  <c r="O30" i="3"/>
  <c r="O32" i="3" s="1"/>
  <c r="M7" i="5"/>
  <c r="M21" i="11"/>
  <c r="M27" i="11" s="1"/>
  <c r="P41" i="10"/>
  <c r="P44" i="10" s="1"/>
  <c r="P47" i="10" s="1"/>
  <c r="AK19" i="2"/>
  <c r="P10" i="3" s="1"/>
  <c r="P13" i="3" s="1"/>
  <c r="P20" i="4" s="1"/>
  <c r="K20" i="8" s="1"/>
  <c r="E15" i="8"/>
  <c r="AK12" i="2"/>
  <c r="P4" i="3" s="1"/>
  <c r="P7" i="3" s="1"/>
  <c r="L29" i="4"/>
  <c r="G16" i="4"/>
  <c r="G29" i="4"/>
  <c r="E14" i="8"/>
  <c r="J5" i="4"/>
  <c r="J37" i="1"/>
  <c r="J38" i="1" s="1"/>
  <c r="H29" i="4"/>
  <c r="H16" i="4"/>
  <c r="E8" i="11"/>
  <c r="E15" i="11" s="1"/>
  <c r="E36" i="11" s="1"/>
  <c r="O29" i="4"/>
  <c r="F32" i="14"/>
  <c r="J75" i="10"/>
  <c r="J76" i="10" s="1"/>
  <c r="J10" i="4"/>
  <c r="J11" i="4" s="1"/>
  <c r="J20" i="14" s="1"/>
  <c r="H25" i="14"/>
  <c r="H27" i="14" s="1"/>
  <c r="I15" i="14" s="1"/>
  <c r="E6" i="8"/>
  <c r="F5" i="8" s="1"/>
  <c r="I15" i="4"/>
  <c r="I6" i="4"/>
  <c r="K29" i="4"/>
  <c r="H14" i="8"/>
  <c r="F27" i="4"/>
  <c r="F32" i="11"/>
  <c r="K30" i="11"/>
  <c r="J16" i="5"/>
  <c r="J17" i="5" s="1"/>
  <c r="K33" i="1"/>
  <c r="K49" i="10"/>
  <c r="K69" i="10" s="1"/>
  <c r="K71" i="10" s="1"/>
  <c r="L32" i="1"/>
  <c r="I19" i="14"/>
  <c r="H38" i="2"/>
  <c r="H7" i="11"/>
  <c r="H6" i="5" s="1"/>
  <c r="I11" i="4"/>
  <c r="I20" i="14" s="1"/>
  <c r="F11" i="8"/>
  <c r="Q20" i="4" l="1"/>
  <c r="E16" i="8"/>
  <c r="I11" i="11"/>
  <c r="H13" i="11"/>
  <c r="H11" i="5" s="1"/>
  <c r="H12" i="5" s="1"/>
  <c r="AM6" i="2"/>
  <c r="AM33" i="2"/>
  <c r="AM7" i="2"/>
  <c r="AM32" i="2"/>
  <c r="AM29" i="2"/>
  <c r="R61" i="10"/>
  <c r="AM8" i="2"/>
  <c r="AM11" i="2"/>
  <c r="AM16" i="2"/>
  <c r="AM30" i="2"/>
  <c r="R37" i="10"/>
  <c r="R41" i="10" s="1"/>
  <c r="R44" i="10" s="1"/>
  <c r="R47" i="10" s="1"/>
  <c r="R62" i="10"/>
  <c r="AM15" i="2"/>
  <c r="AM9" i="2"/>
  <c r="AM17" i="2"/>
  <c r="AM10" i="2"/>
  <c r="R38" i="10"/>
  <c r="R64" i="10"/>
  <c r="AN4" i="2"/>
  <c r="AM23" i="2"/>
  <c r="R39" i="10"/>
  <c r="R63" i="10"/>
  <c r="AM22" i="2"/>
  <c r="AM26" i="2" s="1"/>
  <c r="R16" i="3" s="1"/>
  <c r="R20" i="3" s="1"/>
  <c r="AM24" i="2"/>
  <c r="R40" i="10"/>
  <c r="AM31" i="2"/>
  <c r="AM18" i="2"/>
  <c r="AM25" i="2"/>
  <c r="AL34" i="2"/>
  <c r="Q23" i="3" s="1"/>
  <c r="Q28" i="3" s="1"/>
  <c r="Q21" i="4" s="1"/>
  <c r="N7" i="5"/>
  <c r="AL12" i="2"/>
  <c r="Q4" i="3" s="1"/>
  <c r="Q7" i="3" s="1"/>
  <c r="Q41" i="10"/>
  <c r="Q44" i="10" s="1"/>
  <c r="Q47" i="10" s="1"/>
  <c r="P19" i="4"/>
  <c r="P30" i="3"/>
  <c r="P32" i="3" s="1"/>
  <c r="P9" i="4"/>
  <c r="P74" i="10"/>
  <c r="O19" i="11"/>
  <c r="O22" i="14"/>
  <c r="Q65" i="10"/>
  <c r="Q68" i="10" s="1"/>
  <c r="I30" i="4"/>
  <c r="I16" i="4"/>
  <c r="F16" i="8"/>
  <c r="E24" i="8"/>
  <c r="F24" i="8" s="1"/>
  <c r="M32" i="1"/>
  <c r="L49" i="10"/>
  <c r="L69" i="10" s="1"/>
  <c r="L71" i="10" s="1"/>
  <c r="L33" i="1"/>
  <c r="I7" i="11"/>
  <c r="I6" i="5" s="1"/>
  <c r="I38" i="2"/>
  <c r="J19" i="14"/>
  <c r="J25" i="14" s="1"/>
  <c r="K75" i="10"/>
  <c r="K76" i="10" s="1"/>
  <c r="K10" i="4"/>
  <c r="I25" i="14"/>
  <c r="I27" i="14" s="1"/>
  <c r="J15" i="14" s="1"/>
  <c r="K5" i="4"/>
  <c r="K37" i="1"/>
  <c r="K38" i="1" s="1"/>
  <c r="F6" i="8"/>
  <c r="F20" i="8"/>
  <c r="F4" i="8"/>
  <c r="F21" i="8"/>
  <c r="F19" i="8"/>
  <c r="F22" i="8"/>
  <c r="J15" i="4"/>
  <c r="J6" i="4"/>
  <c r="K16" i="5"/>
  <c r="K17" i="5" s="1"/>
  <c r="L30" i="11"/>
  <c r="H31" i="4"/>
  <c r="H24" i="4"/>
  <c r="H27" i="4" s="1"/>
  <c r="G31" i="4"/>
  <c r="G24" i="4"/>
  <c r="G27" i="4" s="1"/>
  <c r="F4" i="5"/>
  <c r="F8" i="5" s="1"/>
  <c r="F19" i="5" s="1"/>
  <c r="F33" i="11"/>
  <c r="F35" i="11" s="1"/>
  <c r="F5" i="11" s="1"/>
  <c r="G32" i="11" l="1"/>
  <c r="J27" i="14"/>
  <c r="K15" i="14" s="1"/>
  <c r="J11" i="11"/>
  <c r="I13" i="11"/>
  <c r="I11" i="5" s="1"/>
  <c r="I12" i="5" s="1"/>
  <c r="Q74" i="10"/>
  <c r="Q9" i="4"/>
  <c r="R74" i="10"/>
  <c r="R9" i="4"/>
  <c r="R14" i="4" s="1"/>
  <c r="R29" i="4" s="1"/>
  <c r="P22" i="14"/>
  <c r="P19" i="11"/>
  <c r="R65" i="10"/>
  <c r="R68" i="10" s="1"/>
  <c r="P14" i="4"/>
  <c r="K9" i="8"/>
  <c r="Q19" i="4"/>
  <c r="Q30" i="3"/>
  <c r="Q32" i="3" s="1"/>
  <c r="AN9" i="2"/>
  <c r="AN15" i="2"/>
  <c r="AN29" i="2"/>
  <c r="AN16" i="2"/>
  <c r="AN8" i="2"/>
  <c r="AN7" i="2"/>
  <c r="S38" i="10"/>
  <c r="AN10" i="2"/>
  <c r="S62" i="10"/>
  <c r="AN32" i="2"/>
  <c r="AN30" i="2"/>
  <c r="AN33" i="2"/>
  <c r="AN17" i="2"/>
  <c r="S61" i="10"/>
  <c r="AN18" i="2"/>
  <c r="AO4" i="2"/>
  <c r="S40" i="10"/>
  <c r="AN31" i="2"/>
  <c r="AN23" i="2"/>
  <c r="AN22" i="2"/>
  <c r="S39" i="10"/>
  <c r="AN25" i="2"/>
  <c r="AN6" i="2"/>
  <c r="AN12" i="2" s="1"/>
  <c r="S4" i="3" s="1"/>
  <c r="S7" i="3" s="1"/>
  <c r="S37" i="10"/>
  <c r="S63" i="10"/>
  <c r="AN11" i="2"/>
  <c r="S64" i="10"/>
  <c r="AN24" i="2"/>
  <c r="O21" i="11"/>
  <c r="O27" i="11" s="1"/>
  <c r="O7" i="5"/>
  <c r="P22" i="4"/>
  <c r="P21" i="14" s="1"/>
  <c r="K19" i="8"/>
  <c r="K22" i="8" s="1"/>
  <c r="AM19" i="2"/>
  <c r="R10" i="3" s="1"/>
  <c r="R13" i="3" s="1"/>
  <c r="R20" i="4" s="1"/>
  <c r="AM34" i="2"/>
  <c r="R23" i="3" s="1"/>
  <c r="R28" i="3" s="1"/>
  <c r="R21" i="4" s="1"/>
  <c r="AM12" i="2"/>
  <c r="R4" i="3" s="1"/>
  <c r="R7" i="3" s="1"/>
  <c r="F31" i="14"/>
  <c r="F33" i="14" s="1"/>
  <c r="F23" i="5"/>
  <c r="G21" i="5" s="1"/>
  <c r="L16" i="5"/>
  <c r="L17" i="5" s="1"/>
  <c r="M30" i="11"/>
  <c r="F8" i="11"/>
  <c r="F15" i="11" s="1"/>
  <c r="F36" i="11" s="1"/>
  <c r="J7" i="11"/>
  <c r="J6" i="5" s="1"/>
  <c r="J38" i="2"/>
  <c r="K19" i="14"/>
  <c r="L10" i="4"/>
  <c r="L11" i="4" s="1"/>
  <c r="L20" i="14" s="1"/>
  <c r="L75" i="10"/>
  <c r="L76" i="10" s="1"/>
  <c r="J30" i="4"/>
  <c r="J16" i="4"/>
  <c r="K11" i="4"/>
  <c r="K20" i="14" s="1"/>
  <c r="N32" i="1"/>
  <c r="M33" i="1"/>
  <c r="M49" i="10"/>
  <c r="M69" i="10" s="1"/>
  <c r="M71" i="10" s="1"/>
  <c r="I24" i="4"/>
  <c r="I31" i="4"/>
  <c r="H32" i="11"/>
  <c r="G4" i="5"/>
  <c r="G8" i="5" s="1"/>
  <c r="G19" i="5" s="1"/>
  <c r="G31" i="14" s="1"/>
  <c r="G33" i="11"/>
  <c r="G35" i="11" s="1"/>
  <c r="G5" i="11" s="1"/>
  <c r="K15" i="4"/>
  <c r="K6" i="4"/>
  <c r="L5" i="4"/>
  <c r="L37" i="1"/>
  <c r="L38" i="1" s="1"/>
  <c r="K11" i="11" l="1"/>
  <c r="J13" i="11"/>
  <c r="J11" i="5" s="1"/>
  <c r="J12" i="5" s="1"/>
  <c r="S41" i="10"/>
  <c r="S44" i="10" s="1"/>
  <c r="S47" i="10" s="1"/>
  <c r="AN26" i="2"/>
  <c r="S16" i="3" s="1"/>
  <c r="S20" i="3" s="1"/>
  <c r="S30" i="3" s="1"/>
  <c r="S32" i="3" s="1"/>
  <c r="T38" i="10"/>
  <c r="AO22" i="2"/>
  <c r="T64" i="10"/>
  <c r="AO10" i="2"/>
  <c r="AO7" i="2"/>
  <c r="T61" i="10"/>
  <c r="AO18" i="2"/>
  <c r="AO29" i="2"/>
  <c r="AO17" i="2"/>
  <c r="AO6" i="2"/>
  <c r="AO9" i="2"/>
  <c r="T37" i="10"/>
  <c r="AO33" i="2"/>
  <c r="AO23" i="2"/>
  <c r="AO24" i="2"/>
  <c r="AO11" i="2"/>
  <c r="AO8" i="2"/>
  <c r="T62" i="10"/>
  <c r="AO31" i="2"/>
  <c r="AO15" i="2"/>
  <c r="AO30" i="2"/>
  <c r="AO16" i="2"/>
  <c r="T63" i="10"/>
  <c r="AO32" i="2"/>
  <c r="AO25" i="2"/>
  <c r="T40" i="10"/>
  <c r="T39" i="10"/>
  <c r="Q19" i="11"/>
  <c r="Q22" i="14"/>
  <c r="R19" i="4"/>
  <c r="R22" i="4" s="1"/>
  <c r="R21" i="14" s="1"/>
  <c r="R30" i="3"/>
  <c r="R32" i="3" s="1"/>
  <c r="S19" i="4"/>
  <c r="AN34" i="2"/>
  <c r="S23" i="3" s="1"/>
  <c r="S28" i="3" s="1"/>
  <c r="S21" i="4" s="1"/>
  <c r="Q22" i="4"/>
  <c r="Q21" i="14" s="1"/>
  <c r="P7" i="5"/>
  <c r="P21" i="11"/>
  <c r="P27" i="11" s="1"/>
  <c r="S65" i="10"/>
  <c r="S68" i="10" s="1"/>
  <c r="AN19" i="2"/>
  <c r="S10" i="3" s="1"/>
  <c r="S13" i="3" s="1"/>
  <c r="Q14" i="4"/>
  <c r="K14" i="8"/>
  <c r="P29" i="4"/>
  <c r="H4" i="5"/>
  <c r="H8" i="5" s="1"/>
  <c r="H19" i="5" s="1"/>
  <c r="H31" i="14" s="1"/>
  <c r="I31" i="11"/>
  <c r="H33" i="11"/>
  <c r="H35" i="11" s="1"/>
  <c r="H5" i="11" s="1"/>
  <c r="M37" i="1"/>
  <c r="M38" i="1" s="1"/>
  <c r="M5" i="4"/>
  <c r="J24" i="4"/>
  <c r="J27" i="4" s="1"/>
  <c r="J31" i="4"/>
  <c r="K25" i="14"/>
  <c r="K27" i="14" s="1"/>
  <c r="L15" i="14" s="1"/>
  <c r="G23" i="5"/>
  <c r="H21" i="5" s="1"/>
  <c r="G32" i="14"/>
  <c r="G33" i="14" s="1"/>
  <c r="K7" i="11"/>
  <c r="K6" i="5" s="1"/>
  <c r="K38" i="2"/>
  <c r="L19" i="14"/>
  <c r="L25" i="14" s="1"/>
  <c r="O32" i="1"/>
  <c r="N49" i="10"/>
  <c r="N69" i="10" s="1"/>
  <c r="N71" i="10" s="1"/>
  <c r="N33" i="1"/>
  <c r="L15" i="4"/>
  <c r="L6" i="4"/>
  <c r="M75" i="10"/>
  <c r="M76" i="10" s="1"/>
  <c r="M10" i="4"/>
  <c r="H5" i="8"/>
  <c r="K30" i="4"/>
  <c r="K16" i="4"/>
  <c r="G8" i="11"/>
  <c r="G15" i="11" s="1"/>
  <c r="G36" i="11" s="1"/>
  <c r="I27" i="4"/>
  <c r="I32" i="11"/>
  <c r="H10" i="8"/>
  <c r="H11" i="8" s="1"/>
  <c r="M16" i="5"/>
  <c r="M17" i="5" s="1"/>
  <c r="N30" i="11"/>
  <c r="S20" i="4" l="1"/>
  <c r="L11" i="11"/>
  <c r="K13" i="11"/>
  <c r="K11" i="5" s="1"/>
  <c r="K12" i="5" s="1"/>
  <c r="Q29" i="4"/>
  <c r="S22" i="4"/>
  <c r="S21" i="14" s="1"/>
  <c r="Q7" i="5"/>
  <c r="Q21" i="11"/>
  <c r="Q27" i="11" s="1"/>
  <c r="AO19" i="2"/>
  <c r="T10" i="3" s="1"/>
  <c r="T13" i="3" s="1"/>
  <c r="T41" i="10"/>
  <c r="T44" i="10" s="1"/>
  <c r="T47" i="10" s="1"/>
  <c r="AO34" i="2"/>
  <c r="T23" i="3" s="1"/>
  <c r="T28" i="3" s="1"/>
  <c r="T21" i="4" s="1"/>
  <c r="N21" i="8" s="1"/>
  <c r="R19" i="11"/>
  <c r="R22" i="14"/>
  <c r="S74" i="10"/>
  <c r="S9" i="4"/>
  <c r="S22" i="14"/>
  <c r="S19" i="11"/>
  <c r="AO12" i="2"/>
  <c r="T4" i="3" s="1"/>
  <c r="T7" i="3" s="1"/>
  <c r="T65" i="10"/>
  <c r="T68" i="10" s="1"/>
  <c r="AO26" i="2"/>
  <c r="T16" i="3" s="1"/>
  <c r="T20" i="3" s="1"/>
  <c r="J31" i="11"/>
  <c r="I33" i="11"/>
  <c r="I35" i="11" s="1"/>
  <c r="I5" i="11" s="1"/>
  <c r="L38" i="2"/>
  <c r="M19" i="14"/>
  <c r="L7" i="11"/>
  <c r="L6" i="5" s="1"/>
  <c r="H6" i="8"/>
  <c r="I5" i="8" s="1"/>
  <c r="L30" i="4"/>
  <c r="L16" i="4"/>
  <c r="H15" i="8"/>
  <c r="H16" i="8" s="1"/>
  <c r="H32" i="14"/>
  <c r="H33" i="14" s="1"/>
  <c r="H23" i="5"/>
  <c r="I21" i="5" s="1"/>
  <c r="M15" i="4"/>
  <c r="M6" i="4"/>
  <c r="M11" i="4"/>
  <c r="M20" i="14" s="1"/>
  <c r="N5" i="4"/>
  <c r="N37" i="1"/>
  <c r="N38" i="1" s="1"/>
  <c r="L27" i="14"/>
  <c r="M15" i="14" s="1"/>
  <c r="O33" i="1"/>
  <c r="O49" i="10"/>
  <c r="O69" i="10" s="1"/>
  <c r="O71" i="10" s="1"/>
  <c r="P32" i="1"/>
  <c r="O30" i="11"/>
  <c r="N16" i="5"/>
  <c r="N17" i="5" s="1"/>
  <c r="I4" i="5"/>
  <c r="I8" i="5" s="1"/>
  <c r="I19" i="5" s="1"/>
  <c r="I31" i="14" s="1"/>
  <c r="J32" i="11"/>
  <c r="K24" i="4"/>
  <c r="K27" i="4" s="1"/>
  <c r="K31" i="4"/>
  <c r="N75" i="10"/>
  <c r="N76" i="10" s="1"/>
  <c r="N10" i="4"/>
  <c r="N11" i="4" s="1"/>
  <c r="N20" i="14" s="1"/>
  <c r="H8" i="11"/>
  <c r="H15" i="11" s="1"/>
  <c r="H36" i="11" s="1"/>
  <c r="I11" i="8" l="1"/>
  <c r="M25" i="14"/>
  <c r="M27" i="14" s="1"/>
  <c r="N15" i="14" s="1"/>
  <c r="M11" i="11"/>
  <c r="L13" i="11"/>
  <c r="L11" i="5" s="1"/>
  <c r="L12" i="5" s="1"/>
  <c r="T30" i="3"/>
  <c r="T32" i="3" s="1"/>
  <c r="T19" i="4"/>
  <c r="T9" i="4"/>
  <c r="T14" i="4" s="1"/>
  <c r="T29" i="4" s="1"/>
  <c r="T74" i="10"/>
  <c r="S7" i="5"/>
  <c r="S21" i="11"/>
  <c r="S27" i="11" s="1"/>
  <c r="T20" i="4"/>
  <c r="N20" i="8" s="1"/>
  <c r="R21" i="11"/>
  <c r="R27" i="11" s="1"/>
  <c r="R7" i="5"/>
  <c r="S14" i="4"/>
  <c r="N9" i="8"/>
  <c r="P33" i="1"/>
  <c r="Q32" i="1"/>
  <c r="P49" i="10"/>
  <c r="P69" i="10" s="1"/>
  <c r="P71" i="10" s="1"/>
  <c r="I32" i="14"/>
  <c r="I33" i="14" s="1"/>
  <c r="I23" i="5"/>
  <c r="J21" i="5" s="1"/>
  <c r="O75" i="10"/>
  <c r="O76" i="10" s="1"/>
  <c r="O10" i="4"/>
  <c r="O11" i="4" s="1"/>
  <c r="O20" i="14" s="1"/>
  <c r="O37" i="1"/>
  <c r="O38" i="1" s="1"/>
  <c r="O5" i="4"/>
  <c r="N19" i="14"/>
  <c r="N25" i="14" s="1"/>
  <c r="M38" i="2"/>
  <c r="M7" i="11"/>
  <c r="M6" i="5" s="1"/>
  <c r="I16" i="8"/>
  <c r="H24" i="8"/>
  <c r="I24" i="8" s="1"/>
  <c r="I8" i="11"/>
  <c r="I15" i="11" s="1"/>
  <c r="I36" i="11" s="1"/>
  <c r="N15" i="4"/>
  <c r="N6" i="4"/>
  <c r="I6" i="8"/>
  <c r="I20" i="8"/>
  <c r="I4" i="8"/>
  <c r="I21" i="8"/>
  <c r="I19" i="8"/>
  <c r="I22" i="8"/>
  <c r="K32" i="11"/>
  <c r="J4" i="5"/>
  <c r="J8" i="5" s="1"/>
  <c r="J19" i="5" s="1"/>
  <c r="J31" i="14" s="1"/>
  <c r="P30" i="11"/>
  <c r="O16" i="5"/>
  <c r="O17" i="5" s="1"/>
  <c r="M30" i="4"/>
  <c r="M16" i="4"/>
  <c r="L24" i="4"/>
  <c r="L27" i="4" s="1"/>
  <c r="L31" i="4"/>
  <c r="K31" i="11"/>
  <c r="J33" i="11"/>
  <c r="J35" i="11" s="1"/>
  <c r="J5" i="11" s="1"/>
  <c r="N27" i="14" l="1"/>
  <c r="O15" i="14" s="1"/>
  <c r="N11" i="11"/>
  <c r="M13" i="11"/>
  <c r="M11" i="5" s="1"/>
  <c r="M12" i="5" s="1"/>
  <c r="S29" i="4"/>
  <c r="N14" i="8"/>
  <c r="T22" i="4"/>
  <c r="T21" i="14" s="1"/>
  <c r="N19" i="8"/>
  <c r="N22" i="8" s="1"/>
  <c r="T19" i="11"/>
  <c r="T22" i="14"/>
  <c r="J8" i="11"/>
  <c r="J15" i="11" s="1"/>
  <c r="J36" i="11" s="1"/>
  <c r="Q30" i="11"/>
  <c r="P16" i="5"/>
  <c r="P17" i="5" s="1"/>
  <c r="P75" i="10"/>
  <c r="P76" i="10" s="1"/>
  <c r="P10" i="4"/>
  <c r="M31" i="4"/>
  <c r="M24" i="4"/>
  <c r="L31" i="11"/>
  <c r="K33" i="11"/>
  <c r="K35" i="11" s="1"/>
  <c r="K5" i="11" s="1"/>
  <c r="L32" i="11"/>
  <c r="L4" i="5" s="1"/>
  <c r="L8" i="5" s="1"/>
  <c r="L19" i="5" s="1"/>
  <c r="L31" i="14" s="1"/>
  <c r="K4" i="5"/>
  <c r="K8" i="5" s="1"/>
  <c r="K19" i="5" s="1"/>
  <c r="K31" i="14" s="1"/>
  <c r="O19" i="14"/>
  <c r="O25" i="14" s="1"/>
  <c r="N7" i="11"/>
  <c r="N6" i="5" s="1"/>
  <c r="N38" i="2"/>
  <c r="R32" i="1"/>
  <c r="Q33" i="1"/>
  <c r="Q49" i="10"/>
  <c r="Q69" i="10" s="1"/>
  <c r="Q71" i="10" s="1"/>
  <c r="N30" i="4"/>
  <c r="N16" i="4"/>
  <c r="O15" i="4"/>
  <c r="O6" i="4"/>
  <c r="J32" i="14"/>
  <c r="J33" i="14" s="1"/>
  <c r="J23" i="5"/>
  <c r="K21" i="5" s="1"/>
  <c r="P5" i="4"/>
  <c r="P37" i="1"/>
  <c r="P38" i="1" s="1"/>
  <c r="O27" i="14" l="1"/>
  <c r="P15" i="14" s="1"/>
  <c r="O11" i="11"/>
  <c r="N13" i="11"/>
  <c r="N11" i="5" s="1"/>
  <c r="N12" i="5" s="1"/>
  <c r="T7" i="5"/>
  <c r="T21" i="11"/>
  <c r="T27" i="11" s="1"/>
  <c r="O7" i="11"/>
  <c r="O6" i="5" s="1"/>
  <c r="O38" i="2"/>
  <c r="P19" i="14"/>
  <c r="P15" i="4"/>
  <c r="K15" i="8" s="1"/>
  <c r="K16" i="8" s="1"/>
  <c r="P6" i="4"/>
  <c r="K5" i="8"/>
  <c r="K8" i="11"/>
  <c r="K15" i="11" s="1"/>
  <c r="K36" i="11" s="1"/>
  <c r="P11" i="4"/>
  <c r="P20" i="14" s="1"/>
  <c r="K10" i="8"/>
  <c r="K11" i="8" s="1"/>
  <c r="R30" i="11"/>
  <c r="Q16" i="5"/>
  <c r="Q17" i="5" s="1"/>
  <c r="Q10" i="4"/>
  <c r="Q75" i="10"/>
  <c r="Q76" i="10" s="1"/>
  <c r="N24" i="4"/>
  <c r="N27" i="4" s="1"/>
  <c r="N31" i="4"/>
  <c r="Q5" i="4"/>
  <c r="Q37" i="1"/>
  <c r="Q38" i="1" s="1"/>
  <c r="M31" i="11"/>
  <c r="L33" i="11"/>
  <c r="L35" i="11" s="1"/>
  <c r="L5" i="11" s="1"/>
  <c r="O30" i="4"/>
  <c r="O16" i="4"/>
  <c r="K32" i="14"/>
  <c r="K33" i="14" s="1"/>
  <c r="K23" i="5"/>
  <c r="L21" i="5" s="1"/>
  <c r="S32" i="1"/>
  <c r="R49" i="10"/>
  <c r="R69" i="10" s="1"/>
  <c r="R71" i="10" s="1"/>
  <c r="R33" i="1"/>
  <c r="M27" i="4"/>
  <c r="M32" i="11"/>
  <c r="P11" i="11" l="1"/>
  <c r="O13" i="11"/>
  <c r="O11" i="5" s="1"/>
  <c r="O12" i="5" s="1"/>
  <c r="N32" i="11"/>
  <c r="M4" i="5"/>
  <c r="M8" i="5" s="1"/>
  <c r="M19" i="5" s="1"/>
  <c r="M31" i="14" s="1"/>
  <c r="T32" i="1"/>
  <c r="S33" i="1"/>
  <c r="S49" i="10"/>
  <c r="S69" i="10" s="1"/>
  <c r="S71" i="10" s="1"/>
  <c r="O31" i="4"/>
  <c r="O24" i="4"/>
  <c r="O27" i="4" s="1"/>
  <c r="R16" i="5"/>
  <c r="R17" i="5" s="1"/>
  <c r="S30" i="11"/>
  <c r="R75" i="10"/>
  <c r="R76" i="10" s="1"/>
  <c r="R10" i="4"/>
  <c r="R11" i="4" s="1"/>
  <c r="R20" i="14" s="1"/>
  <c r="L23" i="5"/>
  <c r="M21" i="5" s="1"/>
  <c r="L32" i="14"/>
  <c r="L33" i="14" s="1"/>
  <c r="Q6" i="4"/>
  <c r="Q15" i="4"/>
  <c r="Q11" i="4"/>
  <c r="Q20" i="14" s="1"/>
  <c r="K6" i="8"/>
  <c r="L11" i="8" s="1"/>
  <c r="P25" i="14"/>
  <c r="P27" i="14" s="1"/>
  <c r="Q15" i="14" s="1"/>
  <c r="R37" i="1"/>
  <c r="R38" i="1" s="1"/>
  <c r="R5" i="4"/>
  <c r="L8" i="11"/>
  <c r="L15" i="11" s="1"/>
  <c r="L36" i="11" s="1"/>
  <c r="P38" i="2"/>
  <c r="P7" i="11"/>
  <c r="P6" i="5" s="1"/>
  <c r="Q19" i="14"/>
  <c r="L16" i="8"/>
  <c r="K24" i="8"/>
  <c r="N31" i="11"/>
  <c r="M33" i="11"/>
  <c r="M35" i="11" s="1"/>
  <c r="M5" i="11" s="1"/>
  <c r="P30" i="4"/>
  <c r="P16" i="4"/>
  <c r="Q11" i="11" l="1"/>
  <c r="P13" i="11"/>
  <c r="P11" i="5" s="1"/>
  <c r="P12" i="5" s="1"/>
  <c r="L24" i="8"/>
  <c r="P24" i="4"/>
  <c r="P27" i="4" s="1"/>
  <c r="P31" i="4"/>
  <c r="S5" i="4"/>
  <c r="S37" i="1"/>
  <c r="S38" i="1" s="1"/>
  <c r="T33" i="1"/>
  <c r="T49" i="10"/>
  <c r="T69" i="10" s="1"/>
  <c r="T71" i="10" s="1"/>
  <c r="Q25" i="14"/>
  <c r="Q27" i="14" s="1"/>
  <c r="R15" i="14" s="1"/>
  <c r="R19" i="14"/>
  <c r="R25" i="14" s="1"/>
  <c r="Q7" i="11"/>
  <c r="Q6" i="5" s="1"/>
  <c r="Q38" i="2"/>
  <c r="M8" i="11"/>
  <c r="M15" i="11" s="1"/>
  <c r="M36" i="11" s="1"/>
  <c r="L6" i="8"/>
  <c r="L19" i="8"/>
  <c r="L20" i="8"/>
  <c r="L4" i="8"/>
  <c r="L21" i="8"/>
  <c r="L22" i="8"/>
  <c r="O31" i="11"/>
  <c r="N33" i="11"/>
  <c r="N35" i="11" s="1"/>
  <c r="N5" i="11" s="1"/>
  <c r="R15" i="4"/>
  <c r="R6" i="4"/>
  <c r="L5" i="8"/>
  <c r="Q30" i="4"/>
  <c r="Q16" i="4"/>
  <c r="M32" i="14"/>
  <c r="M33" i="14" s="1"/>
  <c r="M23" i="5"/>
  <c r="N21" i="5" s="1"/>
  <c r="T30" i="11"/>
  <c r="S16" i="5"/>
  <c r="S17" i="5" s="1"/>
  <c r="S75" i="10"/>
  <c r="S76" i="10" s="1"/>
  <c r="S10" i="4"/>
  <c r="S11" i="4" s="1"/>
  <c r="S20" i="14" s="1"/>
  <c r="N4" i="5"/>
  <c r="N8" i="5" s="1"/>
  <c r="N19" i="5" s="1"/>
  <c r="N31" i="14" s="1"/>
  <c r="O32" i="11"/>
  <c r="R27" i="14" l="1"/>
  <c r="S15" i="14" s="1"/>
  <c r="R11" i="11"/>
  <c r="Q13" i="11"/>
  <c r="Q11" i="5" s="1"/>
  <c r="Q12" i="5" s="1"/>
  <c r="T16" i="5"/>
  <c r="T17" i="5" s="1"/>
  <c r="R30" i="4"/>
  <c r="R16" i="4"/>
  <c r="S15" i="4"/>
  <c r="S6" i="4"/>
  <c r="R38" i="2"/>
  <c r="R7" i="11"/>
  <c r="R6" i="5" s="1"/>
  <c r="S19" i="14"/>
  <c r="S25" i="14" s="1"/>
  <c r="N32" i="14"/>
  <c r="N33" i="14" s="1"/>
  <c r="N23" i="5"/>
  <c r="O21" i="5" s="1"/>
  <c r="T10" i="4"/>
  <c r="T75" i="10"/>
  <c r="T76" i="10" s="1"/>
  <c r="Q24" i="4"/>
  <c r="Q31" i="4"/>
  <c r="N8" i="11"/>
  <c r="N15" i="11" s="1"/>
  <c r="N36" i="11" s="1"/>
  <c r="P32" i="11"/>
  <c r="O4" i="5"/>
  <c r="O8" i="5" s="1"/>
  <c r="O19" i="5" s="1"/>
  <c r="O31" i="14" s="1"/>
  <c r="P31" i="11"/>
  <c r="O33" i="11"/>
  <c r="O35" i="11" s="1"/>
  <c r="O5" i="11" s="1"/>
  <c r="T5" i="4"/>
  <c r="N5" i="8" s="1"/>
  <c r="T37" i="1"/>
  <c r="T38" i="1" s="1"/>
  <c r="P4" i="5" l="1"/>
  <c r="P8" i="5" s="1"/>
  <c r="P19" i="5" s="1"/>
  <c r="P31" i="14" s="1"/>
  <c r="S27" i="14"/>
  <c r="T15" i="14" s="1"/>
  <c r="S11" i="11"/>
  <c r="R13" i="11"/>
  <c r="R11" i="5" s="1"/>
  <c r="R12" i="5" s="1"/>
  <c r="N6" i="8"/>
  <c r="T15" i="4"/>
  <c r="T6" i="4"/>
  <c r="O8" i="11"/>
  <c r="O15" i="11" s="1"/>
  <c r="O36" i="11" s="1"/>
  <c r="S38" i="2"/>
  <c r="T19" i="14"/>
  <c r="S7" i="11"/>
  <c r="S6" i="5" s="1"/>
  <c r="Q32" i="11"/>
  <c r="Q27" i="4"/>
  <c r="T11" i="4"/>
  <c r="T20" i="14" s="1"/>
  <c r="N10" i="8"/>
  <c r="N11" i="8" s="1"/>
  <c r="S30" i="4"/>
  <c r="S16" i="4"/>
  <c r="N15" i="8"/>
  <c r="N16" i="8" s="1"/>
  <c r="Q31" i="11"/>
  <c r="P33" i="11"/>
  <c r="P35" i="11" s="1"/>
  <c r="P5" i="11" s="1"/>
  <c r="O32" i="14"/>
  <c r="O33" i="14" s="1"/>
  <c r="O23" i="5"/>
  <c r="P21" i="5" s="1"/>
  <c r="R24" i="4"/>
  <c r="R27" i="4" s="1"/>
  <c r="R31" i="4"/>
  <c r="O11" i="8" l="1"/>
  <c r="T11" i="11"/>
  <c r="T13" i="11" s="1"/>
  <c r="S13" i="11"/>
  <c r="S11" i="5" s="1"/>
  <c r="S12" i="5" s="1"/>
  <c r="P32" i="14"/>
  <c r="P33" i="14" s="1"/>
  <c r="P23" i="5"/>
  <c r="Q21" i="5" s="1"/>
  <c r="S31" i="4"/>
  <c r="S24" i="4"/>
  <c r="S27" i="4" s="1"/>
  <c r="T30" i="4"/>
  <c r="T16" i="4"/>
  <c r="P8" i="11"/>
  <c r="P15" i="11" s="1"/>
  <c r="P36" i="11" s="1"/>
  <c r="Q4" i="5"/>
  <c r="Q8" i="5" s="1"/>
  <c r="Q19" i="5" s="1"/>
  <c r="Q31" i="14" s="1"/>
  <c r="R32" i="11"/>
  <c r="O6" i="8"/>
  <c r="O4" i="8"/>
  <c r="O21" i="8"/>
  <c r="O20" i="8"/>
  <c r="O19" i="8"/>
  <c r="O22" i="8"/>
  <c r="R31" i="11"/>
  <c r="Q33" i="11"/>
  <c r="Q35" i="11" s="1"/>
  <c r="Q5" i="11" s="1"/>
  <c r="O5" i="8"/>
  <c r="O16" i="8"/>
  <c r="N24" i="8"/>
  <c r="O24" i="8" s="1"/>
  <c r="T25" i="14"/>
  <c r="T27" i="14" s="1"/>
  <c r="T38" i="2"/>
  <c r="T7" i="11"/>
  <c r="T6" i="5" s="1"/>
  <c r="T11" i="5" l="1"/>
  <c r="T12" i="5" s="1"/>
  <c r="Q8" i="11"/>
  <c r="Q15" i="11" s="1"/>
  <c r="Q36" i="11" s="1"/>
  <c r="S32" i="11"/>
  <c r="R4" i="5"/>
  <c r="R8" i="5" s="1"/>
  <c r="R19" i="5" s="1"/>
  <c r="R31" i="14" s="1"/>
  <c r="T31" i="4"/>
  <c r="T24" i="4"/>
  <c r="T27" i="4" s="1"/>
  <c r="Q32" i="14"/>
  <c r="Q33" i="14" s="1"/>
  <c r="Q23" i="5"/>
  <c r="R21" i="5" s="1"/>
  <c r="S31" i="11"/>
  <c r="R33" i="11"/>
  <c r="R35" i="11" s="1"/>
  <c r="R5" i="11" s="1"/>
  <c r="T32" i="11" l="1"/>
  <c r="S4" i="5"/>
  <c r="S8" i="5" s="1"/>
  <c r="S19" i="5" s="1"/>
  <c r="S31" i="14" s="1"/>
  <c r="R23" i="5"/>
  <c r="S21" i="5" s="1"/>
  <c r="R32" i="14"/>
  <c r="R33" i="14" s="1"/>
  <c r="R8" i="11"/>
  <c r="R15" i="11" s="1"/>
  <c r="R36" i="11" s="1"/>
  <c r="T31" i="11"/>
  <c r="S33" i="11"/>
  <c r="S35" i="11" s="1"/>
  <c r="S5" i="11" s="1"/>
  <c r="T33" i="11" l="1"/>
  <c r="T35" i="11" s="1"/>
  <c r="S32" i="14"/>
  <c r="S33" i="14" s="1"/>
  <c r="S23" i="5"/>
  <c r="T21" i="5" s="1"/>
  <c r="S8" i="11"/>
  <c r="S15" i="11" s="1"/>
  <c r="S36" i="11" s="1"/>
  <c r="T4" i="5"/>
  <c r="T8" i="5" s="1"/>
  <c r="T19" i="5" s="1"/>
  <c r="T31" i="14" s="1"/>
  <c r="T5" i="11" l="1"/>
  <c r="T8" i="11" s="1"/>
  <c r="T15" i="11" s="1"/>
  <c r="T36" i="11" s="1"/>
  <c r="T32" i="14"/>
  <c r="T33" i="14" s="1"/>
  <c r="T23" i="5"/>
</calcChain>
</file>

<file path=xl/sharedStrings.xml><?xml version="1.0" encoding="utf-8"?>
<sst xmlns="http://schemas.openxmlformats.org/spreadsheetml/2006/main" count="888" uniqueCount="278">
  <si>
    <t>Product COGS</t>
    <phoneticPr fontId="0" type="noConversion"/>
  </si>
  <si>
    <t>Support COGS</t>
    <phoneticPr fontId="0" type="noConversion"/>
  </si>
  <si>
    <t>Total COGS</t>
    <phoneticPr fontId="0" type="noConversion"/>
  </si>
  <si>
    <t>Product GM</t>
    <phoneticPr fontId="0" type="noConversion"/>
  </si>
  <si>
    <t>Support GM</t>
    <phoneticPr fontId="0" type="noConversion"/>
  </si>
  <si>
    <t>Total GM</t>
    <phoneticPr fontId="0" type="noConversion"/>
  </si>
  <si>
    <t>Calculated</t>
    <phoneticPr fontId="0" type="noConversion"/>
  </si>
  <si>
    <t>Unit Sales</t>
  </si>
  <si>
    <t>Total Units</t>
  </si>
  <si>
    <t>Total COGS</t>
  </si>
  <si>
    <t>Engineering</t>
  </si>
  <si>
    <t>CTO</t>
  </si>
  <si>
    <t xml:space="preserve"> </t>
  </si>
  <si>
    <t>Programmer</t>
  </si>
  <si>
    <t>Allowance for Accts Payable</t>
    <phoneticPr fontId="3" type="noConversion"/>
  </si>
  <si>
    <t>Expenses</t>
    <phoneticPr fontId="3" type="noConversion"/>
  </si>
  <si>
    <t>Product GM</t>
    <phoneticPr fontId="0" type="noConversion"/>
  </si>
  <si>
    <t>Support GM</t>
    <phoneticPr fontId="0" type="noConversion"/>
  </si>
  <si>
    <t>Customers</t>
    <phoneticPr fontId="0" type="noConversion"/>
  </si>
  <si>
    <t>Units/Customer</t>
    <phoneticPr fontId="0" type="noConversion"/>
  </si>
  <si>
    <t>Sales Price</t>
    <phoneticPr fontId="0" type="noConversion"/>
  </si>
  <si>
    <t>Product Revenue</t>
    <phoneticPr fontId="0" type="noConversion"/>
  </si>
  <si>
    <t>Total Product Revenue</t>
    <phoneticPr fontId="0" type="noConversion"/>
  </si>
  <si>
    <t>Support Revenue</t>
    <phoneticPr fontId="0" type="noConversion"/>
  </si>
  <si>
    <t>Total Installed Base</t>
    <phoneticPr fontId="0" type="noConversion"/>
  </si>
  <si>
    <t>Supported Base (retention)</t>
    <phoneticPr fontId="0" type="noConversion"/>
  </si>
  <si>
    <t>Support Revenue</t>
    <phoneticPr fontId="0" type="noConversion"/>
  </si>
  <si>
    <t>Revenue</t>
    <phoneticPr fontId="0" type="noConversion"/>
  </si>
  <si>
    <t>Sales Revenue</t>
    <phoneticPr fontId="0" type="noConversion"/>
  </si>
  <si>
    <t>Total Revenue</t>
    <phoneticPr fontId="0" type="noConversion"/>
  </si>
  <si>
    <t>Model 1</t>
  </si>
  <si>
    <t>Model 2</t>
  </si>
  <si>
    <t>Model 3</t>
  </si>
  <si>
    <t>To P&amp;L</t>
  </si>
  <si>
    <t>Input</t>
  </si>
  <si>
    <t>Cost of Goods Sold</t>
  </si>
  <si>
    <t>Year 2</t>
  </si>
  <si>
    <t>Year 3</t>
  </si>
  <si>
    <t>Year 4</t>
  </si>
  <si>
    <t>Other</t>
  </si>
  <si>
    <t>CEO</t>
  </si>
  <si>
    <t>Staffing Plan</t>
  </si>
  <si>
    <t>Source</t>
  </si>
  <si>
    <t>Sales Plan</t>
  </si>
  <si>
    <t>Other</t>
    <phoneticPr fontId="3" type="noConversion"/>
  </si>
  <si>
    <t>Warranty Costs per year</t>
    <phoneticPr fontId="3" type="noConversion"/>
  </si>
  <si>
    <t>Product COGS</t>
    <phoneticPr fontId="3" type="noConversion"/>
  </si>
  <si>
    <t>Accts Receivable (days out)</t>
    <phoneticPr fontId="3" type="noConversion"/>
  </si>
  <si>
    <t>Total Current Assets</t>
    <phoneticPr fontId="0" type="noConversion"/>
  </si>
  <si>
    <t>Long Term Assets</t>
    <phoneticPr fontId="3" type="noConversion"/>
  </si>
  <si>
    <t>Computer Eq ($ PP)</t>
    <phoneticPr fontId="3" type="noConversion"/>
  </si>
  <si>
    <t>Other Capital Equipment</t>
    <phoneticPr fontId="3" type="noConversion"/>
  </si>
  <si>
    <t>Total Long Term Assets</t>
    <phoneticPr fontId="0" type="noConversion"/>
  </si>
  <si>
    <t>TOTAL ASSETS</t>
    <phoneticPr fontId="0" type="noConversion"/>
  </si>
  <si>
    <t>Liabilities</t>
    <phoneticPr fontId="0" type="noConversion"/>
  </si>
  <si>
    <t>Current Liabilities</t>
    <phoneticPr fontId="3" type="noConversion"/>
  </si>
  <si>
    <t>Accounts Payable (days out)</t>
    <phoneticPr fontId="3" type="noConversion"/>
  </si>
  <si>
    <t>Short Term Loans</t>
    <phoneticPr fontId="3" type="noConversion"/>
  </si>
  <si>
    <t>Total Current Liabilities</t>
    <phoneticPr fontId="0" type="noConversion"/>
  </si>
  <si>
    <t>Long Term Liabilities</t>
    <phoneticPr fontId="3" type="noConversion"/>
  </si>
  <si>
    <t>Long Term Loans</t>
    <phoneticPr fontId="3" type="noConversion"/>
  </si>
  <si>
    <t>Cash from/to Investments</t>
    <phoneticPr fontId="0" type="noConversion"/>
  </si>
  <si>
    <t>Full Cash Flow</t>
    <phoneticPr fontId="3" type="noConversion"/>
  </si>
  <si>
    <t>Receipts</t>
    <phoneticPr fontId="0" type="noConversion"/>
  </si>
  <si>
    <t>P&amp;L</t>
    <phoneticPr fontId="3" type="noConversion"/>
  </si>
  <si>
    <t>Legal / Audit</t>
    <phoneticPr fontId="0" type="noConversion"/>
  </si>
  <si>
    <t>Rent</t>
    <phoneticPr fontId="0" type="noConversion"/>
  </si>
  <si>
    <t>Literature / PR</t>
  </si>
  <si>
    <t>Accounting</t>
  </si>
  <si>
    <t>Gross Margin</t>
  </si>
  <si>
    <t>Operating Profit</t>
  </si>
  <si>
    <t>P &amp; L by Year</t>
  </si>
  <si>
    <t>Redistribution permitted with attribution.</t>
  </si>
  <si>
    <t>Q1</t>
  </si>
  <si>
    <t>Q2</t>
  </si>
  <si>
    <t>Q3</t>
  </si>
  <si>
    <t>Beginning</t>
    <phoneticPr fontId="3" type="noConversion"/>
  </si>
  <si>
    <t>Product COGS</t>
    <phoneticPr fontId="0" type="noConversion"/>
  </si>
  <si>
    <t>Support COGS</t>
    <phoneticPr fontId="0" type="noConversion"/>
  </si>
  <si>
    <t>from above</t>
    <phoneticPr fontId="3" type="noConversion"/>
  </si>
  <si>
    <t>Total Assets MUST equal Total Liabilities Plus Shareholders Equity.</t>
    <phoneticPr fontId="3" type="noConversion"/>
  </si>
  <si>
    <t>Any differences MUST be reflected in a change ot the cash balance</t>
    <phoneticPr fontId="3" type="noConversion"/>
  </si>
  <si>
    <t>CASH is the plug number to get the formula to balance</t>
    <phoneticPr fontId="3" type="noConversion"/>
  </si>
  <si>
    <t>Of course, this assumes that all your other balances are correct</t>
    <phoneticPr fontId="3" type="noConversion"/>
  </si>
  <si>
    <t>Cash</t>
    <phoneticPr fontId="3" type="noConversion"/>
  </si>
  <si>
    <t>Total Revenue</t>
    <phoneticPr fontId="0" type="noConversion"/>
  </si>
  <si>
    <t>Cash from/to Financings</t>
    <phoneticPr fontId="0" type="noConversion"/>
  </si>
  <si>
    <t>Balance</t>
    <phoneticPr fontId="3" type="noConversion"/>
  </si>
  <si>
    <t>Assets</t>
    <phoneticPr fontId="0" type="noConversion"/>
  </si>
  <si>
    <t>Current Assets</t>
    <phoneticPr fontId="3" type="noConversion"/>
  </si>
  <si>
    <t>CASH FLOW NOTES</t>
    <phoneticPr fontId="3" type="noConversion"/>
  </si>
  <si>
    <t>Q4</t>
  </si>
  <si>
    <t>P&amp;L By Qtr</t>
  </si>
  <si>
    <t>Sales Support</t>
  </si>
  <si>
    <t>Sales Admin</t>
  </si>
  <si>
    <t>Travel (PP/PM)</t>
  </si>
  <si>
    <t>Annual Rev/Emp (000)</t>
  </si>
  <si>
    <t>MIS</t>
  </si>
  <si>
    <t>Tech Supplies (PP/PM)</t>
  </si>
  <si>
    <t>Mar-Com</t>
  </si>
  <si>
    <t>Product Revenue</t>
    <phoneticPr fontId="0" type="noConversion"/>
  </si>
  <si>
    <t>Facilities</t>
    <phoneticPr fontId="3" type="noConversion"/>
  </si>
  <si>
    <t>Revenue</t>
    <phoneticPr fontId="0" type="noConversion"/>
  </si>
  <si>
    <t>P &amp; L by Quarter</t>
    <phoneticPr fontId="0" type="noConversion"/>
  </si>
  <si>
    <t>Support Revenue</t>
    <phoneticPr fontId="0" type="noConversion"/>
  </si>
  <si>
    <t>Total Revenue</t>
    <phoneticPr fontId="0" type="noConversion"/>
  </si>
  <si>
    <t>COGS</t>
    <phoneticPr fontId="0" type="noConversion"/>
  </si>
  <si>
    <t>COGS</t>
    <phoneticPr fontId="0" type="noConversion"/>
  </si>
  <si>
    <t>Total COGS</t>
    <phoneticPr fontId="0" type="noConversion"/>
  </si>
  <si>
    <t>Margins</t>
    <phoneticPr fontId="0" type="noConversion"/>
  </si>
  <si>
    <t>Total Supported Base</t>
    <phoneticPr fontId="3" type="noConversion"/>
  </si>
  <si>
    <t>Tech Writer</t>
  </si>
  <si>
    <t>Total Eng</t>
  </si>
  <si>
    <t>Marketing</t>
  </si>
  <si>
    <t>VP Marketing</t>
  </si>
  <si>
    <t>Product Manager</t>
  </si>
  <si>
    <t>Total GM</t>
    <phoneticPr fontId="0" type="noConversion"/>
  </si>
  <si>
    <t>Sales Price</t>
    <phoneticPr fontId="0" type="noConversion"/>
  </si>
  <si>
    <t>Product COGS</t>
    <phoneticPr fontId="3" type="noConversion"/>
  </si>
  <si>
    <t>Source</t>
    <phoneticPr fontId="3" type="noConversion"/>
  </si>
  <si>
    <t>Variable COGS per Unit</t>
    <phoneticPr fontId="0" type="noConversion"/>
  </si>
  <si>
    <t>Model 1</t>
    <phoneticPr fontId="3" type="noConversion"/>
  </si>
  <si>
    <t>Model 2</t>
    <phoneticPr fontId="3" type="noConversion"/>
  </si>
  <si>
    <t>Model 3</t>
    <phoneticPr fontId="3" type="noConversion"/>
  </si>
  <si>
    <t>Variable COGS</t>
    <phoneticPr fontId="0" type="noConversion"/>
  </si>
  <si>
    <t>Total Variable Costs</t>
    <phoneticPr fontId="3" type="noConversion"/>
  </si>
  <si>
    <t>Mfg Staffing Plan</t>
    <phoneticPr fontId="0" type="noConversion"/>
  </si>
  <si>
    <t>VP Mfg</t>
    <phoneticPr fontId="0" type="noConversion"/>
  </si>
  <si>
    <t>Supervisor (Tech/Mgr)</t>
    <phoneticPr fontId="3" type="noConversion"/>
  </si>
  <si>
    <t>Technician (units/mth)</t>
    <phoneticPr fontId="3" type="noConversion"/>
  </si>
  <si>
    <t>Purch/Admin</t>
    <phoneticPr fontId="3" type="noConversion"/>
  </si>
  <si>
    <t>Source</t>
    <phoneticPr fontId="3" type="noConversion"/>
  </si>
  <si>
    <t>Unit Sales</t>
    <phoneticPr fontId="0" type="noConversion"/>
  </si>
  <si>
    <t>Model 1</t>
    <phoneticPr fontId="3" type="noConversion"/>
  </si>
  <si>
    <t>Model 2</t>
    <phoneticPr fontId="3" type="noConversion"/>
  </si>
  <si>
    <t>Model 3</t>
    <phoneticPr fontId="3" type="noConversion"/>
  </si>
  <si>
    <t>Total Installed Units</t>
    <phoneticPr fontId="3" type="noConversion"/>
  </si>
  <si>
    <t>COGS Expenses</t>
    <phoneticPr fontId="0" type="noConversion"/>
  </si>
  <si>
    <t>Departmental Expenses</t>
    <phoneticPr fontId="0" type="noConversion"/>
  </si>
  <si>
    <t>Cash Flow</t>
    <phoneticPr fontId="3" type="noConversion"/>
  </si>
  <si>
    <t>P&amp;L Quarterly</t>
    <phoneticPr fontId="3" type="noConversion"/>
  </si>
  <si>
    <t xml:space="preserve"> CAPEX</t>
    <phoneticPr fontId="3" type="noConversion"/>
  </si>
  <si>
    <t>FROM FULL CASH FLOW</t>
    <phoneticPr fontId="3" type="noConversion"/>
  </si>
  <si>
    <t>n/a</t>
    <phoneticPr fontId="0" type="noConversion"/>
  </si>
  <si>
    <t>To Cash Flow</t>
    <phoneticPr fontId="3" type="noConversion"/>
  </si>
  <si>
    <t>CHANGE IN CASH</t>
    <phoneticPr fontId="0" type="noConversion"/>
  </si>
  <si>
    <t>Cash at beginning of period</t>
    <phoneticPr fontId="0" type="noConversion"/>
  </si>
  <si>
    <t>Cash at end of period</t>
    <phoneticPr fontId="0" type="noConversion"/>
  </si>
  <si>
    <t>CAPEX</t>
    <phoneticPr fontId="3" type="noConversion"/>
  </si>
  <si>
    <t>Balance Sheet</t>
  </si>
  <si>
    <t>Investment Activity</t>
    <phoneticPr fontId="0" type="noConversion"/>
  </si>
  <si>
    <t>Net Income</t>
    <phoneticPr fontId="0" type="noConversion"/>
  </si>
  <si>
    <t>Balance Sheet</t>
    <phoneticPr fontId="3" type="noConversion"/>
  </si>
  <si>
    <t>Change in A/R</t>
    <phoneticPr fontId="0" type="noConversion"/>
  </si>
  <si>
    <t>Change in A/P</t>
    <phoneticPr fontId="0" type="noConversion"/>
  </si>
  <si>
    <t>Cash from/to Operations</t>
    <phoneticPr fontId="0" type="noConversion"/>
  </si>
  <si>
    <t>INVESTMENTS</t>
    <phoneticPr fontId="0" type="noConversion"/>
  </si>
  <si>
    <t>Capital Expenses</t>
    <phoneticPr fontId="0" type="noConversion"/>
  </si>
  <si>
    <t>Tel &amp; Internet (PP/PM)</t>
    <phoneticPr fontId="0" type="noConversion"/>
  </si>
  <si>
    <t>Cash at beginning of period</t>
    <phoneticPr fontId="0" type="noConversion"/>
  </si>
  <si>
    <t>Cash at end of period</t>
    <phoneticPr fontId="0" type="noConversion"/>
  </si>
  <si>
    <t>Beginning Cash</t>
  </si>
  <si>
    <t>Investment</t>
  </si>
  <si>
    <t>Capital Expense</t>
  </si>
  <si>
    <t>Change in Cash</t>
  </si>
  <si>
    <t>Ending Balance</t>
  </si>
  <si>
    <t>Capital Expenses</t>
  </si>
  <si>
    <t>Employee Workstations (PP)</t>
  </si>
  <si>
    <t>Cumulative CAPEX</t>
  </si>
  <si>
    <t>Total Mktg</t>
  </si>
  <si>
    <t>Sales</t>
  </si>
  <si>
    <t>VP Sales</t>
  </si>
  <si>
    <t>Regional Sales</t>
  </si>
  <si>
    <t>Total Sales</t>
  </si>
  <si>
    <t>General &amp; Admin</t>
  </si>
  <si>
    <t>VP Finance</t>
  </si>
  <si>
    <t>Total G&amp;A</t>
  </si>
  <si>
    <t>Trade Shows</t>
  </si>
  <si>
    <t>COGS</t>
  </si>
  <si>
    <t>Expenses</t>
  </si>
  <si>
    <t>Year 1</t>
  </si>
  <si>
    <t>Total MFG Staff</t>
    <phoneticPr fontId="3" type="noConversion"/>
  </si>
  <si>
    <t>Mfg Staffing Cost</t>
    <phoneticPr fontId="0" type="noConversion"/>
  </si>
  <si>
    <t>from above</t>
    <phoneticPr fontId="3" type="noConversion"/>
  </si>
  <si>
    <t xml:space="preserve">Variable Costs </t>
    <phoneticPr fontId="3" type="noConversion"/>
  </si>
  <si>
    <t>Total Product COGS</t>
    <phoneticPr fontId="3" type="noConversion"/>
  </si>
  <si>
    <t>Support COGS</t>
    <phoneticPr fontId="3" type="noConversion"/>
  </si>
  <si>
    <t>Support Staffing Plan</t>
    <phoneticPr fontId="0" type="noConversion"/>
  </si>
  <si>
    <t>VP Support</t>
    <phoneticPr fontId="0" type="noConversion"/>
  </si>
  <si>
    <t>Manager</t>
    <phoneticPr fontId="3" type="noConversion"/>
  </si>
  <si>
    <t>Support Staff</t>
    <phoneticPr fontId="3" type="noConversion"/>
  </si>
  <si>
    <t>Other/Admin</t>
    <phoneticPr fontId="3" type="noConversion"/>
  </si>
  <si>
    <t>Total Support Staff</t>
    <phoneticPr fontId="3" type="noConversion"/>
  </si>
  <si>
    <t>Support Staffing COGS</t>
    <phoneticPr fontId="0" type="noConversion"/>
  </si>
  <si>
    <t>VP Support</t>
    <phoneticPr fontId="0" type="noConversion"/>
  </si>
  <si>
    <t>Manager</t>
    <phoneticPr fontId="3" type="noConversion"/>
  </si>
  <si>
    <t>Support Staff</t>
    <phoneticPr fontId="3" type="noConversion"/>
  </si>
  <si>
    <t>Other/Admin</t>
    <phoneticPr fontId="3" type="noConversion"/>
  </si>
  <si>
    <t>Total Support Staff</t>
    <phoneticPr fontId="3" type="noConversion"/>
  </si>
  <si>
    <t>Staff</t>
    <phoneticPr fontId="0" type="noConversion"/>
  </si>
  <si>
    <t>VP Engineering</t>
    <phoneticPr fontId="0" type="noConversion"/>
  </si>
  <si>
    <t>Project Manager</t>
    <phoneticPr fontId="0" type="noConversion"/>
  </si>
  <si>
    <t>1 for 1</t>
    <phoneticPr fontId="0" type="noConversion"/>
  </si>
  <si>
    <t>HR/Other</t>
    <phoneticPr fontId="0" type="noConversion"/>
  </si>
  <si>
    <t>TOTAL EMPLOYEES</t>
    <phoneticPr fontId="0" type="noConversion"/>
  </si>
  <si>
    <t>FINANCING</t>
    <phoneticPr fontId="0" type="noConversion"/>
  </si>
  <si>
    <t>Loan Activity</t>
    <phoneticPr fontId="0" type="noConversion"/>
  </si>
  <si>
    <t>Sales &amp; Marketing</t>
    <phoneticPr fontId="0" type="noConversion"/>
  </si>
  <si>
    <t>S&amp;M</t>
    <phoneticPr fontId="0" type="noConversion"/>
  </si>
  <si>
    <t>Rent Calculation</t>
    <phoneticPr fontId="0" type="noConversion"/>
  </si>
  <si>
    <t>Total Long Term Liabilities</t>
    <phoneticPr fontId="0" type="noConversion"/>
  </si>
  <si>
    <t>TOTAL LIABILITIES</t>
    <phoneticPr fontId="0" type="noConversion"/>
  </si>
  <si>
    <t>Equity &amp; Retained Earnings</t>
    <phoneticPr fontId="0" type="noConversion"/>
  </si>
  <si>
    <t>Shareholders Equity</t>
    <phoneticPr fontId="3" type="noConversion"/>
  </si>
  <si>
    <t>Retained Earnings</t>
    <phoneticPr fontId="3" type="noConversion"/>
  </si>
  <si>
    <t>Current Earnings</t>
    <phoneticPr fontId="3" type="noConversion"/>
  </si>
  <si>
    <t>TOTAL Equity &amp; Liabilities</t>
    <phoneticPr fontId="0" type="noConversion"/>
  </si>
  <si>
    <t>INPUT</t>
    <phoneticPr fontId="3" type="noConversion"/>
  </si>
  <si>
    <t>INVESTMENTS RECVD</t>
    <phoneticPr fontId="0" type="noConversion"/>
  </si>
  <si>
    <t>Total Op Exp Excluding Salaries</t>
    <phoneticPr fontId="0" type="noConversion"/>
  </si>
  <si>
    <t>Staffing</t>
    <phoneticPr fontId="0" type="noConversion"/>
  </si>
  <si>
    <t>Space required (PP)</t>
    <phoneticPr fontId="0" type="noConversion"/>
  </si>
  <si>
    <t>Sq Ft/PY</t>
    <phoneticPr fontId="0" type="noConversion"/>
  </si>
  <si>
    <t>Rent Cost - Ideal</t>
    <phoneticPr fontId="0" type="noConversion"/>
  </si>
  <si>
    <t>Rent Cost - Budgeted</t>
    <phoneticPr fontId="0" type="noConversion"/>
  </si>
  <si>
    <t>Operating Profit %</t>
    <phoneticPr fontId="0" type="noConversion"/>
  </si>
  <si>
    <t>Product Gross Margin %</t>
    <phoneticPr fontId="0" type="noConversion"/>
  </si>
  <si>
    <t>Support Gross Margin %</t>
    <phoneticPr fontId="0" type="noConversion"/>
  </si>
  <si>
    <t>Total Gross Margin %</t>
    <phoneticPr fontId="0" type="noConversion"/>
  </si>
  <si>
    <t>Product Revenue</t>
    <phoneticPr fontId="0" type="noConversion"/>
  </si>
  <si>
    <t>Support Revenue</t>
    <phoneticPr fontId="0" type="noConversion"/>
  </si>
  <si>
    <t>Total Support COGS</t>
    <phoneticPr fontId="3" type="noConversion"/>
  </si>
  <si>
    <t>R&amp;D</t>
    <phoneticPr fontId="0" type="noConversion"/>
  </si>
  <si>
    <t>R&amp;D</t>
    <phoneticPr fontId="0" type="noConversion"/>
  </si>
  <si>
    <t>R&amp;D</t>
    <phoneticPr fontId="0" type="noConversion"/>
  </si>
  <si>
    <t>R&amp;D</t>
    <phoneticPr fontId="0" type="noConversion"/>
  </si>
  <si>
    <t>G&amp;A</t>
  </si>
  <si>
    <t>Salaries &amp; Benefits</t>
  </si>
  <si>
    <t>Departmental Expenses</t>
  </si>
  <si>
    <t>input</t>
  </si>
  <si>
    <t>Expense</t>
  </si>
  <si>
    <t>Annual</t>
  </si>
  <si>
    <t>Salary</t>
  </si>
  <si>
    <t>Benefits/COLA -&gt;</t>
  </si>
  <si>
    <t>To Dept Exp</t>
  </si>
  <si>
    <t>Operating Exp.</t>
  </si>
  <si>
    <t>Total Operating Expense</t>
  </si>
  <si>
    <t>Total Engineering</t>
  </si>
  <si>
    <t>Total Marketing</t>
  </si>
  <si>
    <t>input/formula</t>
  </si>
  <si>
    <t>Misc / Other</t>
  </si>
  <si>
    <t>Statement of Cash Flows</t>
    <phoneticPr fontId="0" type="noConversion"/>
  </si>
  <si>
    <t>OPERATIONS</t>
    <phoneticPr fontId="0" type="noConversion"/>
  </si>
  <si>
    <t>See Below</t>
    <phoneticPr fontId="0" type="noConversion"/>
  </si>
  <si>
    <t>CHANGE IN CASH</t>
    <phoneticPr fontId="0" type="noConversion"/>
  </si>
  <si>
    <t>Copyright 1999-2023.  All rights reserved.</t>
  </si>
  <si>
    <t>Total Current Equity &amp; R/E</t>
  </si>
  <si>
    <t>Inventory</t>
  </si>
  <si>
    <t>Change in Inventory</t>
  </si>
  <si>
    <t>Inventory (days on hand)</t>
  </si>
  <si>
    <t>Prototype Equipment</t>
  </si>
  <si>
    <t>CAPEX by Period</t>
  </si>
  <si>
    <t>CAPEX</t>
  </si>
  <si>
    <t>INVENTORY</t>
  </si>
  <si>
    <t>From Above</t>
  </si>
  <si>
    <t>delay 1 qtr</t>
  </si>
  <si>
    <t>This spreadsheet was created by Charlie Tillett (SM '91) for MIT</t>
  </si>
  <si>
    <t>MODEL</t>
  </si>
  <si>
    <t>TEMPLATE</t>
  </si>
  <si>
    <t>FINANCIAL</t>
  </si>
  <si>
    <t>COLOR CODING</t>
  </si>
  <si>
    <t>DO NOT TOUCH</t>
  </si>
  <si>
    <r>
      <t>CELLS in BLUS are</t>
    </r>
    <r>
      <rPr>
        <u/>
        <sz val="10"/>
        <color rgb="FF3333CC"/>
        <rFont val="Arial"/>
        <family val="2"/>
      </rPr>
      <t xml:space="preserve"> pulled from</t>
    </r>
    <r>
      <rPr>
        <sz val="10"/>
        <color indexed="56"/>
        <rFont val="Arial"/>
        <family val="2"/>
      </rPr>
      <t xml:space="preserve"> other worksheets</t>
    </r>
  </si>
  <si>
    <r>
      <t xml:space="preserve">CELLS in MAGENTA are </t>
    </r>
    <r>
      <rPr>
        <u/>
        <sz val="10"/>
        <color rgb="FFFF00FF"/>
        <rFont val="Arial"/>
        <family val="2"/>
      </rPr>
      <t>passed to</t>
    </r>
    <r>
      <rPr>
        <sz val="10"/>
        <color indexed="14"/>
        <rFont val="Arial"/>
        <family val="2"/>
      </rPr>
      <t xml:space="preserve"> other worksheets</t>
    </r>
  </si>
  <si>
    <r>
      <t xml:space="preserve">Cells in BLACK are </t>
    </r>
    <r>
      <rPr>
        <u/>
        <sz val="10"/>
        <rFont val="Arial"/>
        <family val="2"/>
      </rPr>
      <t>calculated</t>
    </r>
    <r>
      <rPr>
        <sz val="10"/>
        <rFont val="Arial"/>
        <family val="2"/>
      </rPr>
      <t xml:space="preserve"> from data you have entered</t>
    </r>
  </si>
  <si>
    <r>
      <t xml:space="preserve">CELLS in RED are </t>
    </r>
    <r>
      <rPr>
        <u/>
        <sz val="10"/>
        <color rgb="FFFF0000"/>
        <rFont val="Arial"/>
        <family val="2"/>
      </rPr>
      <t>YOUR INPUT</t>
    </r>
    <r>
      <rPr>
        <sz val="10"/>
        <color indexed="10"/>
        <rFont val="Arial"/>
        <family val="2"/>
      </rPr>
      <t xml:space="preserve">  </t>
    </r>
  </si>
  <si>
    <t>Only change if you are adjusting a calculation</t>
  </si>
  <si>
    <t>CHANGE AS APPROPRIATE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</si>
</sst>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&quot;$&quot;#,##0"/>
    <numFmt numFmtId="168" formatCode="#,###"/>
    <numFmt numFmtId="169" formatCode="&quot;$&quot;#,###"/>
  </numFmts>
  <fonts count="27" x14ac:knownFonts="1">
    <font>
      <sz val="10"/>
      <name val="Arial"/>
      <charset val="204"/>
    </font>
    <font>
      <b/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33"/>
      <name val="Arial"/>
      <family val="2"/>
    </font>
    <font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4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0"/>
      <color theme="4" tint="-0.249977111117893"/>
      <name val="Arial"/>
      <family val="2"/>
    </font>
    <font>
      <u/>
      <sz val="10"/>
      <color rgb="FF3333CC"/>
      <name val="Arial"/>
      <family val="2"/>
    </font>
    <font>
      <u/>
      <sz val="10"/>
      <color rgb="FFFF00FF"/>
      <name val="Arial"/>
      <family val="2"/>
    </font>
    <font>
      <u/>
      <sz val="10"/>
      <name val="Arial"/>
      <family val="2"/>
    </font>
    <font>
      <u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4" fillId="0" borderId="0" xfId="2" applyNumberFormat="1" applyFont="1" applyAlignment="1">
      <alignment horizontal="center"/>
    </xf>
    <xf numFmtId="164" fontId="5" fillId="0" borderId="0" xfId="2" applyNumberFormat="1" applyFont="1"/>
    <xf numFmtId="0" fontId="5" fillId="0" borderId="0" xfId="0" applyFont="1"/>
    <xf numFmtId="164" fontId="6" fillId="0" borderId="1" xfId="2" applyNumberFormat="1" applyFont="1" applyBorder="1"/>
    <xf numFmtId="0" fontId="7" fillId="0" borderId="0" xfId="0" applyFont="1"/>
    <xf numFmtId="164" fontId="6" fillId="0" borderId="0" xfId="2" applyNumberFormat="1" applyFont="1" applyBorder="1"/>
    <xf numFmtId="164" fontId="2" fillId="0" borderId="0" xfId="2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4" fillId="0" borderId="0" xfId="2" applyNumberFormat="1" applyFont="1" applyFill="1" applyAlignment="1">
      <alignment horizontal="center"/>
    </xf>
    <xf numFmtId="1" fontId="4" fillId="0" borderId="0" xfId="2" applyNumberFormat="1" applyFont="1" applyFill="1" applyAlignment="1">
      <alignment horizontal="center"/>
    </xf>
    <xf numFmtId="164" fontId="2" fillId="0" borderId="0" xfId="2" applyNumberFormat="1" applyFont="1" applyFill="1"/>
    <xf numFmtId="164" fontId="2" fillId="0" borderId="0" xfId="2" applyNumberFormat="1" applyFont="1" applyFill="1" applyAlignment="1">
      <alignment horizontal="center"/>
    </xf>
    <xf numFmtId="164" fontId="2" fillId="0" borderId="1" xfId="2" applyNumberFormat="1" applyFont="1" applyFill="1" applyBorder="1"/>
    <xf numFmtId="164" fontId="2" fillId="0" borderId="0" xfId="2" applyNumberFormat="1" applyFont="1" applyFill="1" applyBorder="1"/>
    <xf numFmtId="164" fontId="2" fillId="0" borderId="2" xfId="2" applyNumberFormat="1" applyFont="1" applyFill="1" applyBorder="1"/>
    <xf numFmtId="164" fontId="2" fillId="0" borderId="3" xfId="2" applyNumberFormat="1" applyFont="1" applyFill="1" applyBorder="1"/>
    <xf numFmtId="164" fontId="2" fillId="0" borderId="4" xfId="2" applyNumberFormat="1" applyFont="1" applyFill="1" applyBorder="1"/>
    <xf numFmtId="164" fontId="10" fillId="0" borderId="0" xfId="2" applyNumberFormat="1" applyFont="1" applyFill="1"/>
    <xf numFmtId="6" fontId="1" fillId="0" borderId="0" xfId="0" applyNumberFormat="1" applyFont="1"/>
    <xf numFmtId="6" fontId="2" fillId="0" borderId="0" xfId="0" applyNumberFormat="1" applyFont="1" applyAlignment="1">
      <alignment horizontal="right"/>
    </xf>
    <xf numFmtId="6" fontId="2" fillId="0" borderId="0" xfId="0" applyNumberFormat="1" applyFont="1"/>
    <xf numFmtId="6" fontId="9" fillId="0" borderId="0" xfId="0" applyNumberFormat="1" applyFont="1"/>
    <xf numFmtId="6" fontId="1" fillId="0" borderId="0" xfId="0" applyNumberFormat="1" applyFont="1" applyAlignment="1">
      <alignment horizontal="right"/>
    </xf>
    <xf numFmtId="6" fontId="2" fillId="0" borderId="0" xfId="0" applyNumberFormat="1" applyFont="1" applyAlignment="1">
      <alignment horizontal="left"/>
    </xf>
    <xf numFmtId="6" fontId="1" fillId="0" borderId="0" xfId="0" applyNumberFormat="1" applyFont="1" applyAlignment="1">
      <alignment horizontal="left"/>
    </xf>
    <xf numFmtId="164" fontId="8" fillId="0" borderId="0" xfId="2" applyNumberFormat="1" applyFont="1"/>
    <xf numFmtId="164" fontId="1" fillId="0" borderId="5" xfId="2" applyNumberFormat="1" applyFont="1" applyBorder="1"/>
    <xf numFmtId="164" fontId="1" fillId="0" borderId="0" xfId="2" applyNumberFormat="1" applyFont="1"/>
    <xf numFmtId="164" fontId="1" fillId="0" borderId="0" xfId="2" applyNumberFormat="1" applyFont="1" applyBorder="1"/>
    <xf numFmtId="164" fontId="8" fillId="0" borderId="4" xfId="2" applyNumberFormat="1" applyFont="1" applyBorder="1"/>
    <xf numFmtId="164" fontId="1" fillId="0" borderId="6" xfId="2" applyNumberFormat="1" applyFont="1" applyBorder="1"/>
    <xf numFmtId="9" fontId="2" fillId="0" borderId="0" xfId="0" applyNumberFormat="1" applyFont="1"/>
    <xf numFmtId="9" fontId="2" fillId="0" borderId="0" xfId="2" applyNumberFormat="1" applyFont="1"/>
    <xf numFmtId="9" fontId="9" fillId="0" borderId="0" xfId="3" applyFont="1"/>
    <xf numFmtId="164" fontId="1" fillId="0" borderId="1" xfId="2" applyNumberFormat="1" applyFont="1" applyBorder="1"/>
    <xf numFmtId="9" fontId="2" fillId="0" borderId="1" xfId="3" applyFont="1" applyBorder="1"/>
    <xf numFmtId="9" fontId="2" fillId="0" borderId="0" xfId="3" applyFont="1" applyBorder="1"/>
    <xf numFmtId="9" fontId="9" fillId="0" borderId="4" xfId="3" applyFont="1" applyBorder="1"/>
    <xf numFmtId="9" fontId="2" fillId="0" borderId="6" xfId="3" applyFont="1" applyBorder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5" fontId="2" fillId="0" borderId="0" xfId="1" applyNumberFormat="1" applyFont="1"/>
    <xf numFmtId="165" fontId="2" fillId="0" borderId="4" xfId="1" applyNumberFormat="1" applyFont="1" applyBorder="1"/>
    <xf numFmtId="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164" fontId="2" fillId="0" borderId="1" xfId="2" applyNumberFormat="1" applyFont="1" applyBorder="1"/>
    <xf numFmtId="168" fontId="9" fillId="0" borderId="0" xfId="0" applyNumberFormat="1" applyFont="1" applyAlignment="1">
      <alignment horizontal="right"/>
    </xf>
    <xf numFmtId="165" fontId="2" fillId="0" borderId="5" xfId="1" applyNumberFormat="1" applyFont="1" applyBorder="1"/>
    <xf numFmtId="165" fontId="2" fillId="0" borderId="0" xfId="1" applyNumberFormat="1" applyFont="1" applyBorder="1"/>
    <xf numFmtId="165" fontId="9" fillId="0" borderId="0" xfId="0" applyNumberFormat="1" applyFont="1" applyAlignment="1">
      <alignment horizontal="right"/>
    </xf>
    <xf numFmtId="164" fontId="11" fillId="0" borderId="0" xfId="2" applyNumberFormat="1" applyFont="1" applyBorder="1"/>
    <xf numFmtId="0" fontId="12" fillId="0" borderId="0" xfId="0" applyFont="1"/>
    <xf numFmtId="167" fontId="9" fillId="0" borderId="0" xfId="0" applyNumberFormat="1" applyFont="1"/>
    <xf numFmtId="9" fontId="4" fillId="0" borderId="0" xfId="2" applyNumberFormat="1" applyFont="1" applyAlignment="1">
      <alignment horizontal="right"/>
    </xf>
    <xf numFmtId="164" fontId="4" fillId="0" borderId="0" xfId="2" applyNumberFormat="1" applyFont="1" applyAlignment="1">
      <alignment horizontal="right"/>
    </xf>
    <xf numFmtId="166" fontId="4" fillId="0" borderId="0" xfId="2" applyNumberFormat="1" applyFont="1" applyAlignment="1">
      <alignment horizontal="right"/>
    </xf>
    <xf numFmtId="164" fontId="2" fillId="0" borderId="5" xfId="0" applyNumberFormat="1" applyFont="1" applyBorder="1"/>
    <xf numFmtId="165" fontId="4" fillId="0" borderId="0" xfId="0" applyNumberFormat="1" applyFont="1"/>
    <xf numFmtId="165" fontId="5" fillId="0" borderId="0" xfId="0" applyNumberFormat="1" applyFont="1"/>
    <xf numFmtId="165" fontId="4" fillId="0" borderId="4" xfId="0" applyNumberFormat="1" applyFont="1" applyBorder="1"/>
    <xf numFmtId="165" fontId="1" fillId="0" borderId="0" xfId="0" applyNumberFormat="1" applyFont="1"/>
    <xf numFmtId="164" fontId="4" fillId="0" borderId="0" xfId="2" applyNumberFormat="1" applyFont="1"/>
    <xf numFmtId="164" fontId="11" fillId="0" borderId="1" xfId="2" applyNumberFormat="1" applyFont="1" applyBorder="1"/>
    <xf numFmtId="164" fontId="4" fillId="0" borderId="0" xfId="0" applyNumberFormat="1" applyFont="1"/>
    <xf numFmtId="164" fontId="6" fillId="0" borderId="5" xfId="0" applyNumberFormat="1" applyFont="1" applyBorder="1"/>
    <xf numFmtId="167" fontId="9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center"/>
    </xf>
    <xf numFmtId="169" fontId="5" fillId="0" borderId="0" xfId="2" applyNumberFormat="1" applyFont="1"/>
    <xf numFmtId="0" fontId="11" fillId="0" borderId="0" xfId="0" applyFont="1" applyAlignment="1">
      <alignment horizontal="right"/>
    </xf>
    <xf numFmtId="164" fontId="12" fillId="0" borderId="1" xfId="2" applyNumberFormat="1" applyFont="1" applyBorder="1"/>
    <xf numFmtId="164" fontId="1" fillId="0" borderId="0" xfId="2" applyNumberFormat="1" applyFont="1" applyAlignment="1">
      <alignment horizontal="right"/>
    </xf>
    <xf numFmtId="9" fontId="13" fillId="0" borderId="0" xfId="3" applyFont="1" applyAlignment="1">
      <alignment horizontal="right"/>
    </xf>
    <xf numFmtId="165" fontId="4" fillId="0" borderId="0" xfId="1" applyNumberFormat="1" applyFont="1"/>
    <xf numFmtId="165" fontId="4" fillId="0" borderId="4" xfId="1" applyNumberFormat="1" applyFont="1" applyBorder="1"/>
    <xf numFmtId="165" fontId="1" fillId="0" borderId="0" xfId="1" applyNumberFormat="1" applyFont="1"/>
    <xf numFmtId="0" fontId="14" fillId="0" borderId="0" xfId="0" applyFont="1" applyAlignment="1">
      <alignment horizontal="center"/>
    </xf>
    <xf numFmtId="164" fontId="14" fillId="0" borderId="1" xfId="0" applyNumberFormat="1" applyFont="1" applyBorder="1"/>
    <xf numFmtId="165" fontId="5" fillId="0" borderId="0" xfId="1" applyNumberFormat="1" applyFont="1"/>
    <xf numFmtId="167" fontId="2" fillId="0" borderId="0" xfId="1" applyNumberFormat="1" applyFont="1"/>
    <xf numFmtId="164" fontId="10" fillId="0" borderId="0" xfId="2" applyNumberFormat="1" applyFont="1"/>
    <xf numFmtId="164" fontId="4" fillId="0" borderId="4" xfId="2" applyNumberFormat="1" applyFont="1" applyBorder="1"/>
    <xf numFmtId="164" fontId="14" fillId="0" borderId="0" xfId="2" applyNumberFormat="1" applyFont="1"/>
    <xf numFmtId="164" fontId="14" fillId="0" borderId="1" xfId="2" applyNumberFormat="1" applyFont="1" applyBorder="1"/>
    <xf numFmtId="1" fontId="8" fillId="0" borderId="0" xfId="2" applyNumberFormat="1" applyFont="1"/>
    <xf numFmtId="3" fontId="5" fillId="0" borderId="0" xfId="2" applyNumberFormat="1" applyFont="1"/>
    <xf numFmtId="164" fontId="5" fillId="0" borderId="0" xfId="2" applyNumberFormat="1" applyFont="1" applyFill="1"/>
    <xf numFmtId="164" fontId="2" fillId="0" borderId="0" xfId="2" applyNumberFormat="1" applyFont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164" fontId="2" fillId="0" borderId="1" xfId="0" applyNumberFormat="1" applyFont="1" applyBorder="1"/>
    <xf numFmtId="164" fontId="8" fillId="0" borderId="0" xfId="2" applyNumberFormat="1" applyFont="1" applyBorder="1" applyAlignment="1">
      <alignment horizontal="right"/>
    </xf>
    <xf numFmtId="164" fontId="8" fillId="0" borderId="0" xfId="0" applyNumberFormat="1" applyFont="1"/>
    <xf numFmtId="164" fontId="8" fillId="0" borderId="4" xfId="0" applyNumberFormat="1" applyFont="1" applyBorder="1"/>
    <xf numFmtId="164" fontId="8" fillId="0" borderId="0" xfId="2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37" fontId="15" fillId="0" borderId="0" xfId="0" applyNumberFormat="1" applyFont="1" applyAlignment="1">
      <alignment horizontal="left"/>
    </xf>
    <xf numFmtId="37" fontId="15" fillId="0" borderId="0" xfId="0" applyNumberFormat="1" applyFont="1"/>
    <xf numFmtId="37" fontId="15" fillId="0" borderId="6" xfId="0" applyNumberFormat="1" applyFont="1" applyBorder="1"/>
    <xf numFmtId="0" fontId="16" fillId="0" borderId="0" xfId="0" applyFont="1" applyAlignment="1">
      <alignment horizontal="center"/>
    </xf>
    <xf numFmtId="37" fontId="1" fillId="0" borderId="0" xfId="0" applyNumberFormat="1" applyFont="1"/>
    <xf numFmtId="37" fontId="2" fillId="0" borderId="0" xfId="0" applyNumberFormat="1" applyFont="1" applyAlignment="1">
      <alignment horizontal="right"/>
    </xf>
    <xf numFmtId="37" fontId="16" fillId="0" borderId="0" xfId="0" applyNumberFormat="1" applyFont="1" applyAlignment="1">
      <alignment horizontal="center"/>
    </xf>
    <xf numFmtId="37" fontId="5" fillId="0" borderId="0" xfId="0" applyNumberFormat="1" applyFont="1"/>
    <xf numFmtId="37" fontId="9" fillId="0" borderId="0" xfId="0" applyNumberFormat="1" applyFont="1"/>
    <xf numFmtId="37" fontId="1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left"/>
    </xf>
    <xf numFmtId="37" fontId="1" fillId="0" borderId="0" xfId="0" applyNumberFormat="1" applyFont="1" applyAlignment="1">
      <alignment horizontal="left"/>
    </xf>
    <xf numFmtId="37" fontId="17" fillId="0" borderId="0" xfId="0" applyNumberFormat="1" applyFont="1"/>
    <xf numFmtId="164" fontId="2" fillId="0" borderId="7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6" xfId="0" applyNumberFormat="1" applyFont="1" applyBorder="1"/>
    <xf numFmtId="1" fontId="2" fillId="0" borderId="0" xfId="2" applyNumberFormat="1" applyFont="1" applyBorder="1" applyAlignment="1">
      <alignment horizontal="right"/>
    </xf>
    <xf numFmtId="164" fontId="2" fillId="0" borderId="0" xfId="2" applyNumberFormat="1" applyFont="1" applyAlignment="1">
      <alignment horizontal="right"/>
    </xf>
    <xf numFmtId="164" fontId="6" fillId="0" borderId="1" xfId="0" applyNumberFormat="1" applyFont="1" applyBorder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 applyAlignment="1">
      <alignment wrapText="1"/>
    </xf>
    <xf numFmtId="0" fontId="19" fillId="0" borderId="0" xfId="0" applyFont="1"/>
    <xf numFmtId="0" fontId="21" fillId="0" borderId="0" xfId="0" applyFont="1"/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22" fillId="0" borderId="0" xfId="0" applyFont="1"/>
    <xf numFmtId="0" fontId="11" fillId="0" borderId="0" xfId="2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12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5"/>
  <sheetViews>
    <sheetView tabSelected="1" workbookViewId="0"/>
  </sheetViews>
  <sheetFormatPr baseColWidth="10" defaultColWidth="18.1640625" defaultRowHeight="20" x14ac:dyDescent="0.2"/>
  <cols>
    <col min="1" max="1" width="82.1640625" style="129" customWidth="1"/>
    <col min="2" max="2" width="5.6640625" style="130" customWidth="1"/>
    <col min="3" max="3" width="82.5" style="130" bestFit="1" customWidth="1"/>
    <col min="4" max="16384" width="18.1640625" style="130"/>
  </cols>
  <sheetData>
    <row r="1" spans="1:1" ht="25" x14ac:dyDescent="0.25">
      <c r="A1" s="131" t="s">
        <v>269</v>
      </c>
    </row>
    <row r="2" spans="1:1" ht="25" x14ac:dyDescent="0.25">
      <c r="A2" s="132" t="s">
        <v>267</v>
      </c>
    </row>
    <row r="3" spans="1:1" ht="26" thickBot="1" x14ac:dyDescent="0.3">
      <c r="A3" s="133" t="s">
        <v>268</v>
      </c>
    </row>
    <row r="11" spans="1:1" ht="42" x14ac:dyDescent="0.2">
      <c r="A11" s="128" t="s">
        <v>266</v>
      </c>
    </row>
    <row r="13" spans="1:1" x14ac:dyDescent="0.2">
      <c r="A13" s="129" t="s">
        <v>72</v>
      </c>
    </row>
    <row r="15" spans="1:1" ht="21" x14ac:dyDescent="0.2">
      <c r="A15" s="128" t="s">
        <v>255</v>
      </c>
    </row>
  </sheetData>
  <phoneticPr fontId="0" type="noConversion"/>
  <pageMargins left="0.75" right="0.75" top="1" bottom="1" header="0.5" footer="0.5"/>
  <pageSetup orientation="landscape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zoomScale="150" workbookViewId="0">
      <pane xSplit="2" ySplit="2" topLeftCell="H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11.1640625" defaultRowHeight="15" customHeight="1" x14ac:dyDescent="0.15"/>
  <cols>
    <col min="1" max="1" width="3.5" style="1" customWidth="1"/>
    <col min="2" max="2" width="22.33203125" style="19" customWidth="1"/>
    <col min="3" max="3" width="12.1640625" style="19" bestFit="1" customWidth="1"/>
    <col min="4" max="4" width="10.83203125" style="6" bestFit="1" customWidth="1"/>
    <col min="5" max="8" width="11.6640625" style="6" bestFit="1" customWidth="1"/>
    <col min="9" max="9" width="12.1640625" style="6" bestFit="1" customWidth="1"/>
    <col min="10" max="20" width="11.6640625" style="6" bestFit="1" customWidth="1"/>
    <col min="21" max="16384" width="11.1640625" style="6"/>
  </cols>
  <sheetData>
    <row r="1" spans="1:20" s="4" customFormat="1" ht="15" customHeight="1" x14ac:dyDescent="0.15">
      <c r="A1" s="1" t="s">
        <v>251</v>
      </c>
      <c r="B1" s="2"/>
      <c r="C1" s="2"/>
      <c r="D1" s="4" t="s">
        <v>76</v>
      </c>
      <c r="E1" s="4" t="s">
        <v>73</v>
      </c>
      <c r="F1" s="4" t="s">
        <v>74</v>
      </c>
      <c r="G1" s="4" t="s">
        <v>75</v>
      </c>
      <c r="H1" s="4" t="s">
        <v>91</v>
      </c>
      <c r="I1" s="4" t="s">
        <v>73</v>
      </c>
      <c r="J1" s="4" t="s">
        <v>74</v>
      </c>
      <c r="K1" s="4" t="s">
        <v>75</v>
      </c>
      <c r="L1" s="4" t="s">
        <v>91</v>
      </c>
      <c r="M1" s="4" t="s">
        <v>73</v>
      </c>
      <c r="N1" s="4" t="s">
        <v>74</v>
      </c>
      <c r="O1" s="4" t="s">
        <v>75</v>
      </c>
      <c r="P1" s="4" t="s">
        <v>91</v>
      </c>
      <c r="Q1" s="4" t="s">
        <v>73</v>
      </c>
      <c r="R1" s="4" t="s">
        <v>74</v>
      </c>
      <c r="S1" s="4" t="s">
        <v>75</v>
      </c>
      <c r="T1" s="4" t="s">
        <v>91</v>
      </c>
    </row>
    <row r="2" spans="1:20" s="4" customFormat="1" ht="15" customHeight="1" x14ac:dyDescent="0.15">
      <c r="B2" s="2"/>
      <c r="C2" s="2"/>
      <c r="D2" s="4" t="s">
        <v>87</v>
      </c>
      <c r="E2" s="4" t="s">
        <v>180</v>
      </c>
      <c r="F2" s="4" t="s">
        <v>180</v>
      </c>
      <c r="G2" s="4" t="s">
        <v>180</v>
      </c>
      <c r="H2" s="4" t="s">
        <v>180</v>
      </c>
      <c r="I2" s="4" t="s">
        <v>36</v>
      </c>
      <c r="J2" s="4" t="s">
        <v>36</v>
      </c>
      <c r="K2" s="4" t="s">
        <v>36</v>
      </c>
      <c r="L2" s="4" t="s">
        <v>36</v>
      </c>
      <c r="M2" s="4" t="s">
        <v>37</v>
      </c>
      <c r="N2" s="4" t="s">
        <v>37</v>
      </c>
      <c r="O2" s="4" t="s">
        <v>37</v>
      </c>
      <c r="P2" s="4" t="s">
        <v>37</v>
      </c>
      <c r="Q2" s="4" t="s">
        <v>38</v>
      </c>
      <c r="R2" s="4" t="s">
        <v>38</v>
      </c>
      <c r="S2" s="4" t="s">
        <v>38</v>
      </c>
      <c r="T2" s="4" t="s">
        <v>38</v>
      </c>
    </row>
    <row r="3" spans="1:20" ht="15" customHeight="1" x14ac:dyDescent="0.15">
      <c r="B3" s="2" t="s">
        <v>252</v>
      </c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0" s="119" customFormat="1" ht="15" customHeight="1" x14ac:dyDescent="0.15">
      <c r="A4" s="111"/>
      <c r="B4" s="112" t="s">
        <v>151</v>
      </c>
      <c r="C4" s="113" t="s">
        <v>152</v>
      </c>
      <c r="D4" s="17">
        <v>0</v>
      </c>
      <c r="E4" s="17">
        <f>('Balance Sheet'!E32-'Balance Sheet'!D32)+('Balance Sheet'!E31-'Balance Sheet'!D31)</f>
        <v>-1110700</v>
      </c>
      <c r="F4" s="17">
        <f>('Balance Sheet'!F32-'Balance Sheet'!E32)+('Balance Sheet'!F31-'Balance Sheet'!E31)</f>
        <v>-1016800</v>
      </c>
      <c r="G4" s="17">
        <f>('Balance Sheet'!G32-'Balance Sheet'!F32)+('Balance Sheet'!G31-'Balance Sheet'!F31)</f>
        <v>-960225</v>
      </c>
      <c r="H4" s="17">
        <f>('Balance Sheet'!H32-'Balance Sheet'!G32)+('Balance Sheet'!H31-'Balance Sheet'!G31)</f>
        <v>-853348.75</v>
      </c>
      <c r="I4" s="17">
        <f>('Balance Sheet'!I32-'Balance Sheet'!H32)+('Balance Sheet'!I31-'Balance Sheet'!H31)</f>
        <v>-1164688.8125</v>
      </c>
      <c r="J4" s="17">
        <f>('Balance Sheet'!J32-'Balance Sheet'!I32)+('Balance Sheet'!J31-'Balance Sheet'!I31)</f>
        <v>-1153099.3718750002</v>
      </c>
      <c r="K4" s="17">
        <f>('Balance Sheet'!K32-'Balance Sheet'!J32)+('Balance Sheet'!K31-'Balance Sheet'!J31)</f>
        <v>-922790.65328125004</v>
      </c>
      <c r="L4" s="17">
        <f>('Balance Sheet'!L32-'Balance Sheet'!K32)+('Balance Sheet'!L31-'Balance Sheet'!K31)</f>
        <v>-699612.37061718758</v>
      </c>
      <c r="M4" s="17">
        <f>('Balance Sheet'!M32-'Balance Sheet'!L32)+('Balance Sheet'!M31-'Balance Sheet'!L31)</f>
        <v>-748371.75208632834</v>
      </c>
      <c r="N4" s="17">
        <f>('Balance Sheet'!N32-'Balance Sheet'!M32)+('Balance Sheet'!N31-'Balance Sheet'!M31)</f>
        <v>-706483.16448201193</v>
      </c>
      <c r="O4" s="17">
        <f>('Balance Sheet'!O32-'Balance Sheet'!N32)+('Balance Sheet'!O31-'Balance Sheet'!N31)</f>
        <v>131808.49374208879</v>
      </c>
      <c r="P4" s="17">
        <f>('Balance Sheet'!P32-'Balance Sheet'!O32)+('Balance Sheet'!P31-'Balance Sheet'!O31)</f>
        <v>1426389.3190549845</v>
      </c>
      <c r="Q4" s="17">
        <f>('Balance Sheet'!Q32-'Balance Sheet'!P32)+('Balance Sheet'!Q31-'Balance Sheet'!P31)</f>
        <v>1721259.8531022356</v>
      </c>
      <c r="R4" s="17">
        <f>('Balance Sheet'!R32-'Balance Sheet'!Q32)+('Balance Sheet'!R31-'Balance Sheet'!Q31)</f>
        <v>2672348.1104471236</v>
      </c>
      <c r="S4" s="17">
        <f>('Balance Sheet'!S32-'Balance Sheet'!R32)+('Balance Sheet'!S31-'Balance Sheet'!R31)</f>
        <v>3376993.204924766</v>
      </c>
      <c r="T4" s="17">
        <f>('Balance Sheet'!T32-'Balance Sheet'!S32)+('Balance Sheet'!T31-'Balance Sheet'!S31)</f>
        <v>4263866.0446785279</v>
      </c>
    </row>
    <row r="5" spans="1:20" s="119" customFormat="1" ht="15" customHeight="1" x14ac:dyDescent="0.15">
      <c r="A5" s="111"/>
      <c r="B5" s="112" t="s">
        <v>258</v>
      </c>
      <c r="C5" s="113" t="s">
        <v>152</v>
      </c>
      <c r="D5" s="17">
        <v>0</v>
      </c>
      <c r="E5" s="17">
        <f>-('Balance Sheet'!E6-'Balance Sheet'!D6)</f>
        <v>-30000</v>
      </c>
      <c r="F5" s="17">
        <f>-('Balance Sheet'!F6-'Balance Sheet'!E6)</f>
        <v>-42000</v>
      </c>
      <c r="G5" s="17">
        <f>-('Balance Sheet'!G6-'Balance Sheet'!F6)</f>
        <v>-38000</v>
      </c>
      <c r="H5" s="17">
        <f>-('Balance Sheet'!H6-'Balance Sheet'!G6)</f>
        <v>-108250</v>
      </c>
      <c r="I5" s="17">
        <f>-('CapEx and Simple Cash Flow'!E11-'Balance Sheet'!H6)</f>
        <v>188250</v>
      </c>
      <c r="J5" s="17">
        <f>-('Balance Sheet'!J6-'CapEx and Simple Cash Flow'!E11)</f>
        <v>-294450</v>
      </c>
      <c r="K5" s="17">
        <f>-('Balance Sheet'!K6-'Balance Sheet'!J6)</f>
        <v>-104550</v>
      </c>
      <c r="L5" s="17">
        <f>-('Balance Sheet'!L6-'Balance Sheet'!K6)</f>
        <v>-134200</v>
      </c>
      <c r="M5" s="17">
        <f>-('Balance Sheet'!M6-'Balance Sheet'!L6)</f>
        <v>-106400</v>
      </c>
      <c r="N5" s="17">
        <f>-('Balance Sheet'!N6-'Balance Sheet'!M6)</f>
        <v>-252400</v>
      </c>
      <c r="O5" s="17">
        <f>-('Balance Sheet'!O6-'Balance Sheet'!N6)</f>
        <v>-302000</v>
      </c>
      <c r="P5" s="17">
        <f>-('Balance Sheet'!P6-'Balance Sheet'!O6)</f>
        <v>16800</v>
      </c>
      <c r="Q5" s="17">
        <f>-('Balance Sheet'!Q6-'Balance Sheet'!P6)</f>
        <v>-188800</v>
      </c>
      <c r="R5" s="17">
        <f>-('Balance Sheet'!R6-'Balance Sheet'!Q6)</f>
        <v>-112000</v>
      </c>
      <c r="S5" s="17">
        <f>-('Balance Sheet'!S6-'Balance Sheet'!R6)</f>
        <v>-176000</v>
      </c>
      <c r="T5" s="17">
        <f>-('Balance Sheet'!T6-'Balance Sheet'!S6)</f>
        <v>-196541.11405835534</v>
      </c>
    </row>
    <row r="6" spans="1:20" s="114" customFormat="1" ht="15" customHeight="1" x14ac:dyDescent="0.15">
      <c r="A6" s="111"/>
      <c r="B6" s="112" t="s">
        <v>153</v>
      </c>
      <c r="C6" s="113" t="s">
        <v>152</v>
      </c>
      <c r="D6" s="17">
        <v>0</v>
      </c>
      <c r="E6" s="17">
        <f>-('Balance Sheet'!E7-'Balance Sheet'!D7)</f>
        <v>0</v>
      </c>
      <c r="F6" s="17">
        <f>-('Balance Sheet'!F7-'Balance Sheet'!E7)</f>
        <v>-209000</v>
      </c>
      <c r="G6" s="17">
        <f>-('Balance Sheet'!G7-'Balance Sheet'!F7)</f>
        <v>-301150</v>
      </c>
      <c r="H6" s="17">
        <f>-('Balance Sheet'!H7-'Balance Sheet'!G7)</f>
        <v>-354492.5</v>
      </c>
      <c r="I6" s="17">
        <f>-('Balance Sheet'!I7-'Balance Sheet'!H7)</f>
        <v>-497792.875</v>
      </c>
      <c r="J6" s="17">
        <f>-('Balance Sheet'!J7-'Balance Sheet'!I7)</f>
        <v>-360518.23124999995</v>
      </c>
      <c r="K6" s="17">
        <f>-('Balance Sheet'!K7-'Balance Sheet'!J7)</f>
        <v>-663829.8196874999</v>
      </c>
      <c r="L6" s="17">
        <f>-('Balance Sheet'!L7-'Balance Sheet'!K7)</f>
        <v>-782685.82870312501</v>
      </c>
      <c r="M6" s="17">
        <f>-('Balance Sheet'!M7-'Balance Sheet'!L7)</f>
        <v>-986466.53726796899</v>
      </c>
      <c r="N6" s="17">
        <f>-('Balance Sheet'!N7-'Balance Sheet'!M7)</f>
        <v>-831123.21040457021</v>
      </c>
      <c r="O6" s="17">
        <f>-('Balance Sheet'!O7-'Balance Sheet'!N7)</f>
        <v>-1960347.0498843417</v>
      </c>
      <c r="P6" s="17">
        <f>-('Balance Sheet'!P7-'Balance Sheet'!O7)</f>
        <v>-2544429.6973901251</v>
      </c>
      <c r="Q6" s="17">
        <f>-('Balance Sheet'!Q7-'Balance Sheet'!P7)</f>
        <v>-1177648.212520618</v>
      </c>
      <c r="R6" s="17">
        <f>-('Balance Sheet'!R7-'Balance Sheet'!Q7)</f>
        <v>-2301325.8018945884</v>
      </c>
      <c r="S6" s="17">
        <f>-('Balance Sheet'!S7-'Balance Sheet'!R7)</f>
        <v>-1563059.511799857</v>
      </c>
      <c r="T6" s="17">
        <f>-('Balance Sheet'!T7-'Balance Sheet'!S7)</f>
        <v>-2260106.5362098664</v>
      </c>
    </row>
    <row r="7" spans="1:20" s="115" customFormat="1" ht="15" customHeight="1" thickBot="1" x14ac:dyDescent="0.2">
      <c r="A7" s="111"/>
      <c r="B7" s="112" t="s">
        <v>154</v>
      </c>
      <c r="C7" s="113" t="s">
        <v>152</v>
      </c>
      <c r="D7" s="17">
        <v>0</v>
      </c>
      <c r="E7" s="17">
        <f>'Balance Sheet'!E19-'Balance Sheet'!D19</f>
        <v>122600</v>
      </c>
      <c r="F7" s="17">
        <f>'Balance Sheet'!F19-'Balance Sheet'!E19</f>
        <v>18300</v>
      </c>
      <c r="G7" s="17">
        <f>'Balance Sheet'!G19-'Balance Sheet'!F19</f>
        <v>13700</v>
      </c>
      <c r="H7" s="17">
        <f>'Balance Sheet'!H19-'Balance Sheet'!G19</f>
        <v>46600</v>
      </c>
      <c r="I7" s="17">
        <f>'Balance Sheet'!I19-'Balance Sheet'!H19</f>
        <v>37300</v>
      </c>
      <c r="J7" s="17">
        <f>'Balance Sheet'!J19-'Balance Sheet'!I19</f>
        <v>62400</v>
      </c>
      <c r="K7" s="17">
        <f>'Balance Sheet'!K19-'Balance Sheet'!J19</f>
        <v>7300</v>
      </c>
      <c r="L7" s="17">
        <f>'Balance Sheet'!L19-'Balance Sheet'!K19</f>
        <v>84100</v>
      </c>
      <c r="M7" s="17">
        <f>'Balance Sheet'!M19-'Balance Sheet'!L19</f>
        <v>76100</v>
      </c>
      <c r="N7" s="17">
        <f>'Balance Sheet'!N19-'Balance Sheet'!M19</f>
        <v>101300</v>
      </c>
      <c r="O7" s="17">
        <f>'Balance Sheet'!O19-'Balance Sheet'!N19</f>
        <v>-1500</v>
      </c>
      <c r="P7" s="17">
        <f>'Balance Sheet'!P19-'Balance Sheet'!O19</f>
        <v>122700</v>
      </c>
      <c r="Q7" s="17">
        <f>'Balance Sheet'!Q19-'Balance Sheet'!P19</f>
        <v>51100</v>
      </c>
      <c r="R7" s="17">
        <f>'Balance Sheet'!R19-'Balance Sheet'!Q19</f>
        <v>185500</v>
      </c>
      <c r="S7" s="17">
        <f>'Balance Sheet'!S19-'Balance Sheet'!R19</f>
        <v>-26300.000000000466</v>
      </c>
      <c r="T7" s="17">
        <f>'Balance Sheet'!T19-'Balance Sheet'!S19</f>
        <v>174400</v>
      </c>
    </row>
    <row r="8" spans="1:20" s="115" customFormat="1" ht="15" customHeight="1" x14ac:dyDescent="0.15">
      <c r="A8" s="111"/>
      <c r="B8" s="116" t="s">
        <v>155</v>
      </c>
      <c r="C8" s="116"/>
      <c r="D8" s="120">
        <f t="shared" ref="D8:T8" si="0">SUM(D4:D7)</f>
        <v>0</v>
      </c>
      <c r="E8" s="120">
        <f t="shared" si="0"/>
        <v>-1018100</v>
      </c>
      <c r="F8" s="120">
        <f t="shared" si="0"/>
        <v>-1249500</v>
      </c>
      <c r="G8" s="120">
        <f t="shared" si="0"/>
        <v>-1285675</v>
      </c>
      <c r="H8" s="120">
        <f t="shared" si="0"/>
        <v>-1269491.25</v>
      </c>
      <c r="I8" s="120">
        <f t="shared" si="0"/>
        <v>-1436931.6875</v>
      </c>
      <c r="J8" s="120">
        <f t="shared" si="0"/>
        <v>-1745667.6031250001</v>
      </c>
      <c r="K8" s="120">
        <f t="shared" si="0"/>
        <v>-1683870.4729687499</v>
      </c>
      <c r="L8" s="120">
        <f t="shared" si="0"/>
        <v>-1532398.1993203126</v>
      </c>
      <c r="M8" s="120">
        <f t="shared" si="0"/>
        <v>-1765138.2893542973</v>
      </c>
      <c r="N8" s="120">
        <f t="shared" si="0"/>
        <v>-1688706.3748865821</v>
      </c>
      <c r="O8" s="120">
        <f t="shared" si="0"/>
        <v>-2132038.5561422529</v>
      </c>
      <c r="P8" s="120">
        <f t="shared" si="0"/>
        <v>-978540.37833514065</v>
      </c>
      <c r="Q8" s="120">
        <f t="shared" si="0"/>
        <v>405911.6405816176</v>
      </c>
      <c r="R8" s="120">
        <f t="shared" si="0"/>
        <v>444522.30855253525</v>
      </c>
      <c r="S8" s="120">
        <f t="shared" si="0"/>
        <v>1611633.6931249085</v>
      </c>
      <c r="T8" s="120">
        <f t="shared" si="0"/>
        <v>1981618.3944103061</v>
      </c>
    </row>
    <row r="9" spans="1:20" s="115" customFormat="1" ht="15" customHeight="1" x14ac:dyDescent="0.15">
      <c r="A9" s="111"/>
      <c r="B9" s="117"/>
      <c r="C9" s="1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19" customFormat="1" ht="15" customHeight="1" x14ac:dyDescent="0.15">
      <c r="A10" s="111"/>
      <c r="B10" s="118" t="s">
        <v>156</v>
      </c>
      <c r="C10" s="11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s="114" customFormat="1" ht="15" customHeight="1" thickBot="1" x14ac:dyDescent="0.2">
      <c r="A11" s="111"/>
      <c r="B11" s="112" t="s">
        <v>157</v>
      </c>
      <c r="C11" s="113" t="s">
        <v>149</v>
      </c>
      <c r="D11" s="17">
        <v>0</v>
      </c>
      <c r="E11" s="17">
        <f>-('Balance Sheet'!E13-'Balance Sheet'!D13)</f>
        <v>-76000</v>
      </c>
      <c r="F11" s="17">
        <f>-('Balance Sheet'!F13-'Balance Sheet'!E13)</f>
        <v>-28000</v>
      </c>
      <c r="G11" s="17">
        <f>-('Balance Sheet'!G13-'Balance Sheet'!F13)</f>
        <v>-37000</v>
      </c>
      <c r="H11" s="17">
        <f>-('Balance Sheet'!H13-'Balance Sheet'!G13)</f>
        <v>-31000</v>
      </c>
      <c r="I11" s="17">
        <f>-('Balance Sheet'!I13-'Balance Sheet'!H13)</f>
        <v>-83000</v>
      </c>
      <c r="J11" s="17">
        <f>-('Balance Sheet'!J13-'Balance Sheet'!I13)</f>
        <v>-59000</v>
      </c>
      <c r="K11" s="17">
        <f>-('Balance Sheet'!K13-'Balance Sheet'!J13)</f>
        <v>-68000</v>
      </c>
      <c r="L11" s="17">
        <f>-('Balance Sheet'!L13-'Balance Sheet'!K13)</f>
        <v>-56000</v>
      </c>
      <c r="M11" s="17">
        <f>-('Balance Sheet'!M13-'Balance Sheet'!L13)</f>
        <v>-136000</v>
      </c>
      <c r="N11" s="17">
        <f>-('Balance Sheet'!N13-'Balance Sheet'!M13)</f>
        <v>-168000</v>
      </c>
      <c r="O11" s="17">
        <f>-('Balance Sheet'!O13-'Balance Sheet'!N13)</f>
        <v>-230000</v>
      </c>
      <c r="P11" s="17">
        <f>-('Balance Sheet'!P13-'Balance Sheet'!O13)</f>
        <v>-262000</v>
      </c>
      <c r="Q11" s="17">
        <f>-('Balance Sheet'!Q13-'Balance Sheet'!P13)</f>
        <v>-336000</v>
      </c>
      <c r="R11" s="17">
        <f>-('Balance Sheet'!R13-'Balance Sheet'!Q13)</f>
        <v>-430000</v>
      </c>
      <c r="S11" s="17">
        <f>-('Balance Sheet'!S13-'Balance Sheet'!R13)</f>
        <v>-536000</v>
      </c>
      <c r="T11" s="17">
        <f>-('Balance Sheet'!T13-'Balance Sheet'!S13)</f>
        <v>-630000</v>
      </c>
    </row>
    <row r="12" spans="1:20" s="115" customFormat="1" ht="15" customHeight="1" x14ac:dyDescent="0.15">
      <c r="A12" s="111"/>
      <c r="B12" s="116" t="s">
        <v>61</v>
      </c>
      <c r="C12" s="116"/>
      <c r="D12" s="120">
        <f>SUM(D11)</f>
        <v>0</v>
      </c>
      <c r="E12" s="120">
        <f>SUM(E11)</f>
        <v>-76000</v>
      </c>
      <c r="F12" s="120">
        <f t="shared" ref="F12:T12" si="1">SUM(F11)</f>
        <v>-28000</v>
      </c>
      <c r="G12" s="120">
        <f t="shared" si="1"/>
        <v>-37000</v>
      </c>
      <c r="H12" s="120">
        <f t="shared" si="1"/>
        <v>-31000</v>
      </c>
      <c r="I12" s="120">
        <f t="shared" si="1"/>
        <v>-83000</v>
      </c>
      <c r="J12" s="120">
        <f t="shared" si="1"/>
        <v>-59000</v>
      </c>
      <c r="K12" s="120">
        <f t="shared" si="1"/>
        <v>-68000</v>
      </c>
      <c r="L12" s="120">
        <f t="shared" si="1"/>
        <v>-56000</v>
      </c>
      <c r="M12" s="120">
        <f t="shared" si="1"/>
        <v>-136000</v>
      </c>
      <c r="N12" s="120">
        <f t="shared" si="1"/>
        <v>-168000</v>
      </c>
      <c r="O12" s="120">
        <f t="shared" si="1"/>
        <v>-230000</v>
      </c>
      <c r="P12" s="120">
        <f t="shared" si="1"/>
        <v>-262000</v>
      </c>
      <c r="Q12" s="120">
        <f t="shared" si="1"/>
        <v>-336000</v>
      </c>
      <c r="R12" s="120">
        <f t="shared" si="1"/>
        <v>-430000</v>
      </c>
      <c r="S12" s="120">
        <f t="shared" si="1"/>
        <v>-536000</v>
      </c>
      <c r="T12" s="120">
        <f t="shared" si="1"/>
        <v>-630000</v>
      </c>
    </row>
    <row r="13" spans="1:20" s="34" customFormat="1" ht="15" customHeight="1" x14ac:dyDescent="0.15">
      <c r="B13" s="36"/>
      <c r="C13" s="36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</row>
    <row r="14" spans="1:20" s="32" customFormat="1" ht="15" customHeight="1" x14ac:dyDescent="0.15">
      <c r="A14" s="30"/>
      <c r="B14" s="36" t="s">
        <v>205</v>
      </c>
      <c r="C14" s="3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32" customFormat="1" ht="15" customHeight="1" x14ac:dyDescent="0.15">
      <c r="A15" s="30"/>
      <c r="B15" s="31" t="s">
        <v>206</v>
      </c>
      <c r="C15" s="110" t="s">
        <v>149</v>
      </c>
      <c r="D15" s="17">
        <v>0</v>
      </c>
      <c r="E15" s="17">
        <f>('Balance Sheet'!E20-'Balance Sheet'!D20)+('Balance Sheet'!E24-'Balance Sheet'!D24)</f>
        <v>0</v>
      </c>
      <c r="F15" s="17">
        <f>('Balance Sheet'!F20-'Balance Sheet'!E20)+('Balance Sheet'!F24-'Balance Sheet'!E24)</f>
        <v>0</v>
      </c>
      <c r="G15" s="17">
        <f>('Balance Sheet'!G20-'Balance Sheet'!F20)+('Balance Sheet'!G24-'Balance Sheet'!F24)</f>
        <v>0</v>
      </c>
      <c r="H15" s="17">
        <f>('Balance Sheet'!H20-'Balance Sheet'!G20)+('Balance Sheet'!H24-'Balance Sheet'!G24)</f>
        <v>0</v>
      </c>
      <c r="I15" s="17">
        <f>('Balance Sheet'!I20-'Balance Sheet'!H20)+('Balance Sheet'!I24-'Balance Sheet'!H24)</f>
        <v>0</v>
      </c>
      <c r="J15" s="17">
        <f>('Balance Sheet'!J20-'Balance Sheet'!I20)+('Balance Sheet'!J24-'Balance Sheet'!I24)</f>
        <v>0</v>
      </c>
      <c r="K15" s="17">
        <f>('Balance Sheet'!K20-'Balance Sheet'!J20)+('Balance Sheet'!K24-'Balance Sheet'!J24)</f>
        <v>0</v>
      </c>
      <c r="L15" s="17">
        <f>('Balance Sheet'!L20-'Balance Sheet'!K20)+('Balance Sheet'!L24-'Balance Sheet'!K24)</f>
        <v>0</v>
      </c>
      <c r="M15" s="17">
        <f>('Balance Sheet'!M20-'Balance Sheet'!L20)+('Balance Sheet'!M24-'Balance Sheet'!L24)</f>
        <v>0</v>
      </c>
      <c r="N15" s="17">
        <f>('Balance Sheet'!N20-'Balance Sheet'!M20)+('Balance Sheet'!N24-'Balance Sheet'!M24)</f>
        <v>0</v>
      </c>
      <c r="O15" s="17">
        <f>('Balance Sheet'!O20-'Balance Sheet'!N20)+('Balance Sheet'!O24-'Balance Sheet'!N24)</f>
        <v>0</v>
      </c>
      <c r="P15" s="17">
        <f>('Balance Sheet'!P20-'Balance Sheet'!O20)+('Balance Sheet'!P24-'Balance Sheet'!O24)</f>
        <v>0</v>
      </c>
      <c r="Q15" s="17">
        <f>('Balance Sheet'!Q20-'Balance Sheet'!P20)+('Balance Sheet'!Q24-'Balance Sheet'!P24)</f>
        <v>0</v>
      </c>
      <c r="R15" s="17">
        <f>('Balance Sheet'!R20-'Balance Sheet'!Q20)+('Balance Sheet'!R24-'Balance Sheet'!Q24)</f>
        <v>0</v>
      </c>
      <c r="S15" s="17">
        <f>('Balance Sheet'!S20-'Balance Sheet'!R20)+('Balance Sheet'!S24-'Balance Sheet'!R24)</f>
        <v>0</v>
      </c>
      <c r="T15" s="17">
        <f>('Balance Sheet'!T20-'Balance Sheet'!S20)+('Balance Sheet'!T24-'Balance Sheet'!S24)</f>
        <v>0</v>
      </c>
    </row>
    <row r="16" spans="1:20" s="32" customFormat="1" ht="15" customHeight="1" thickBot="1" x14ac:dyDescent="0.2">
      <c r="A16" s="30"/>
      <c r="B16" s="31" t="s">
        <v>150</v>
      </c>
      <c r="C16" s="110" t="s">
        <v>149</v>
      </c>
      <c r="D16" s="17">
        <f>'Balance Sheet'!D30</f>
        <v>5000000</v>
      </c>
      <c r="E16" s="17">
        <f>'Balance Sheet'!E30-'Balance Sheet'!D30</f>
        <v>0</v>
      </c>
      <c r="F16" s="17">
        <f>'Balance Sheet'!F30-'Balance Sheet'!E30</f>
        <v>0</v>
      </c>
      <c r="G16" s="17">
        <f>'Balance Sheet'!G30-'Balance Sheet'!F30</f>
        <v>0</v>
      </c>
      <c r="H16" s="17">
        <f>'Balance Sheet'!H30-'Balance Sheet'!G30</f>
        <v>0</v>
      </c>
      <c r="I16" s="17">
        <f>'Balance Sheet'!I30-'Balance Sheet'!H30</f>
        <v>10000000</v>
      </c>
      <c r="J16" s="17">
        <f>'Balance Sheet'!J30-'Balance Sheet'!I30</f>
        <v>0</v>
      </c>
      <c r="K16" s="17">
        <f>'Balance Sheet'!K30-'Balance Sheet'!J30</f>
        <v>0</v>
      </c>
      <c r="L16" s="17">
        <f>'Balance Sheet'!L30-'Balance Sheet'!K30</f>
        <v>0</v>
      </c>
      <c r="M16" s="17">
        <f>'Balance Sheet'!M30-'Balance Sheet'!L30</f>
        <v>0</v>
      </c>
      <c r="N16" s="17">
        <f>'Balance Sheet'!N30-'Balance Sheet'!M30</f>
        <v>0</v>
      </c>
      <c r="O16" s="17">
        <f>'Balance Sheet'!O30-'Balance Sheet'!N30</f>
        <v>5000000</v>
      </c>
      <c r="P16" s="17">
        <f>'Balance Sheet'!P30-'Balance Sheet'!O30</f>
        <v>0</v>
      </c>
      <c r="Q16" s="17">
        <f>'Balance Sheet'!Q30-'Balance Sheet'!P30</f>
        <v>0</v>
      </c>
      <c r="R16" s="17">
        <f>'Balance Sheet'!R30-'Balance Sheet'!Q30</f>
        <v>0</v>
      </c>
      <c r="S16" s="17">
        <f>'Balance Sheet'!S30-'Balance Sheet'!R30</f>
        <v>0</v>
      </c>
      <c r="T16" s="17">
        <f>'Balance Sheet'!T30-'Balance Sheet'!S30</f>
        <v>0</v>
      </c>
    </row>
    <row r="17" spans="1:20" s="33" customFormat="1" ht="15" customHeight="1" x14ac:dyDescent="0.15">
      <c r="A17" s="30"/>
      <c r="B17" s="34" t="s">
        <v>86</v>
      </c>
      <c r="C17" s="34"/>
      <c r="D17" s="120">
        <f>SUM(D15:D16)</f>
        <v>5000000</v>
      </c>
      <c r="E17" s="120">
        <f>SUM(E15:E16)</f>
        <v>0</v>
      </c>
      <c r="F17" s="120">
        <f t="shared" ref="F17:T17" si="2">SUM(F15:F16)</f>
        <v>0</v>
      </c>
      <c r="G17" s="120">
        <f t="shared" si="2"/>
        <v>0</v>
      </c>
      <c r="H17" s="120">
        <f t="shared" si="2"/>
        <v>0</v>
      </c>
      <c r="I17" s="120">
        <f t="shared" si="2"/>
        <v>10000000</v>
      </c>
      <c r="J17" s="120">
        <f t="shared" si="2"/>
        <v>0</v>
      </c>
      <c r="K17" s="120">
        <f t="shared" si="2"/>
        <v>0</v>
      </c>
      <c r="L17" s="120">
        <f t="shared" si="2"/>
        <v>0</v>
      </c>
      <c r="M17" s="120">
        <f t="shared" si="2"/>
        <v>0</v>
      </c>
      <c r="N17" s="120">
        <f t="shared" si="2"/>
        <v>0</v>
      </c>
      <c r="O17" s="120">
        <f t="shared" si="2"/>
        <v>5000000</v>
      </c>
      <c r="P17" s="120">
        <f t="shared" si="2"/>
        <v>0</v>
      </c>
      <c r="Q17" s="120">
        <f t="shared" si="2"/>
        <v>0</v>
      </c>
      <c r="R17" s="120">
        <f t="shared" si="2"/>
        <v>0</v>
      </c>
      <c r="S17" s="120">
        <f t="shared" si="2"/>
        <v>0</v>
      </c>
      <c r="T17" s="120">
        <f t="shared" si="2"/>
        <v>0</v>
      </c>
    </row>
    <row r="18" spans="1:20" s="32" customFormat="1" ht="15" customHeight="1" x14ac:dyDescent="0.15">
      <c r="A18" s="30"/>
      <c r="B18" s="35"/>
      <c r="C18" s="3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30" customFormat="1" ht="15" customHeight="1" thickBot="1" x14ac:dyDescent="0.2">
      <c r="B19" s="36" t="s">
        <v>254</v>
      </c>
      <c r="C19" s="36"/>
      <c r="D19" s="122">
        <f>D8+D12+D17</f>
        <v>5000000</v>
      </c>
      <c r="E19" s="122">
        <f>E8+E12+E17</f>
        <v>-1094100</v>
      </c>
      <c r="F19" s="122">
        <f t="shared" ref="F19:T19" si="3">F8+F12+F17</f>
        <v>-1277500</v>
      </c>
      <c r="G19" s="122">
        <f t="shared" si="3"/>
        <v>-1322675</v>
      </c>
      <c r="H19" s="122">
        <f t="shared" si="3"/>
        <v>-1300491.25</v>
      </c>
      <c r="I19" s="122">
        <f t="shared" si="3"/>
        <v>8480068.3125</v>
      </c>
      <c r="J19" s="122">
        <f t="shared" si="3"/>
        <v>-1804667.6031250001</v>
      </c>
      <c r="K19" s="122">
        <f t="shared" si="3"/>
        <v>-1751870.4729687499</v>
      </c>
      <c r="L19" s="122">
        <f t="shared" si="3"/>
        <v>-1588398.1993203126</v>
      </c>
      <c r="M19" s="122">
        <f t="shared" si="3"/>
        <v>-1901138.2893542973</v>
      </c>
      <c r="N19" s="122">
        <f t="shared" si="3"/>
        <v>-1856706.3748865821</v>
      </c>
      <c r="O19" s="122">
        <f t="shared" si="3"/>
        <v>2637961.4438577471</v>
      </c>
      <c r="P19" s="122">
        <f t="shared" si="3"/>
        <v>-1240540.3783351406</v>
      </c>
      <c r="Q19" s="122">
        <f t="shared" si="3"/>
        <v>69911.640581617597</v>
      </c>
      <c r="R19" s="122">
        <f t="shared" si="3"/>
        <v>14522.308552535251</v>
      </c>
      <c r="S19" s="122">
        <f t="shared" si="3"/>
        <v>1075633.6931249085</v>
      </c>
      <c r="T19" s="122">
        <f t="shared" si="3"/>
        <v>1351618.3944103061</v>
      </c>
    </row>
    <row r="20" spans="1:20" ht="15" customHeight="1" thickTop="1" x14ac:dyDescent="0.15"/>
    <row r="21" spans="1:20" ht="15" customHeight="1" x14ac:dyDescent="0.15">
      <c r="B21" s="19" t="s">
        <v>159</v>
      </c>
      <c r="D21" s="17">
        <v>0</v>
      </c>
      <c r="E21" s="17">
        <f>D23</f>
        <v>5000000</v>
      </c>
      <c r="F21" s="17">
        <f t="shared" ref="F21:S21" si="4">E23</f>
        <v>3905900</v>
      </c>
      <c r="G21" s="17">
        <f t="shared" si="4"/>
        <v>2628400</v>
      </c>
      <c r="H21" s="17">
        <f t="shared" si="4"/>
        <v>1305725</v>
      </c>
      <c r="I21" s="17">
        <f t="shared" si="4"/>
        <v>5233.75</v>
      </c>
      <c r="J21" s="17">
        <f t="shared" si="4"/>
        <v>8485302.0625</v>
      </c>
      <c r="K21" s="17">
        <f t="shared" si="4"/>
        <v>6680634.4593749996</v>
      </c>
      <c r="L21" s="17">
        <f t="shared" si="4"/>
        <v>4928763.9864062499</v>
      </c>
      <c r="M21" s="17">
        <f t="shared" si="4"/>
        <v>3340365.7870859373</v>
      </c>
      <c r="N21" s="17">
        <f t="shared" si="4"/>
        <v>1439227.49773164</v>
      </c>
      <c r="O21" s="17">
        <f t="shared" si="4"/>
        <v>-417478.87715494214</v>
      </c>
      <c r="P21" s="17">
        <f t="shared" si="4"/>
        <v>2220482.566702805</v>
      </c>
      <c r="Q21" s="17">
        <f t="shared" si="4"/>
        <v>979942.18836766435</v>
      </c>
      <c r="R21" s="17">
        <f t="shared" si="4"/>
        <v>1049853.8289492819</v>
      </c>
      <c r="S21" s="17">
        <f t="shared" si="4"/>
        <v>1064376.1375018172</v>
      </c>
      <c r="T21" s="17">
        <f>S23</f>
        <v>2140009.8306267257</v>
      </c>
    </row>
    <row r="22" spans="1:20" ht="15" customHeight="1" x14ac:dyDescent="0.15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5" customHeight="1" thickBot="1" x14ac:dyDescent="0.2">
      <c r="B23" s="19" t="s">
        <v>160</v>
      </c>
      <c r="D23" s="122">
        <f>D21+D19</f>
        <v>5000000</v>
      </c>
      <c r="E23" s="122">
        <f>E21+E19</f>
        <v>3905900</v>
      </c>
      <c r="F23" s="122">
        <f t="shared" ref="F23:T23" si="5">F21+F19</f>
        <v>2628400</v>
      </c>
      <c r="G23" s="122">
        <f t="shared" si="5"/>
        <v>1305725</v>
      </c>
      <c r="H23" s="122">
        <f t="shared" si="5"/>
        <v>5233.75</v>
      </c>
      <c r="I23" s="122">
        <f t="shared" si="5"/>
        <v>8485302.0625</v>
      </c>
      <c r="J23" s="122">
        <f t="shared" si="5"/>
        <v>6680634.4593749996</v>
      </c>
      <c r="K23" s="122">
        <f t="shared" si="5"/>
        <v>4928763.9864062499</v>
      </c>
      <c r="L23" s="122">
        <f t="shared" si="5"/>
        <v>3340365.7870859373</v>
      </c>
      <c r="M23" s="122">
        <f t="shared" si="5"/>
        <v>1439227.49773164</v>
      </c>
      <c r="N23" s="122">
        <f t="shared" si="5"/>
        <v>-417478.87715494214</v>
      </c>
      <c r="O23" s="122">
        <f t="shared" si="5"/>
        <v>2220482.566702805</v>
      </c>
      <c r="P23" s="122">
        <f t="shared" si="5"/>
        <v>979942.18836766435</v>
      </c>
      <c r="Q23" s="122">
        <f t="shared" si="5"/>
        <v>1049853.8289492819</v>
      </c>
      <c r="R23" s="122">
        <f t="shared" si="5"/>
        <v>1064376.1375018172</v>
      </c>
      <c r="S23" s="122">
        <f t="shared" si="5"/>
        <v>2140009.8306267257</v>
      </c>
      <c r="T23" s="122">
        <f t="shared" si="5"/>
        <v>3491628.2250370318</v>
      </c>
    </row>
    <row r="24" spans="1:20" ht="15" customHeight="1" thickTop="1" x14ac:dyDescent="0.15"/>
  </sheetData>
  <phoneticPr fontId="0" type="noConversion"/>
  <printOptions gridLines="1" gridLinesSet="0"/>
  <pageMargins left="0.25" right="0.25" top="1" bottom="1" header="0.5" footer="0.5"/>
  <pageSetup scale="90" fitToWidth="2" orientation="landscape" horizontalDpi="300" verticalDpi="300"/>
  <headerFooter alignWithMargins="0">
    <oddFooter>&amp;L&amp;A&amp;CPage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zoomScale="15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15" customHeight="1" x14ac:dyDescent="0.15"/>
  <cols>
    <col min="1" max="1" width="3.33203125" style="1" customWidth="1"/>
    <col min="2" max="2" width="12.83203125" style="7" customWidth="1"/>
    <col min="3" max="3" width="10.6640625" style="7" bestFit="1" customWidth="1"/>
    <col min="4" max="4" width="2.5" style="7" customWidth="1"/>
    <col min="5" max="5" width="11.33203125" style="6" customWidth="1"/>
    <col min="6" max="6" width="6.1640625" style="6" bestFit="1" customWidth="1"/>
    <col min="7" max="7" width="2.6640625" style="6" customWidth="1"/>
    <col min="8" max="8" width="11.33203125" style="6" customWidth="1"/>
    <col min="9" max="9" width="5.33203125" style="6" bestFit="1" customWidth="1"/>
    <col min="10" max="10" width="2.6640625" style="6" customWidth="1"/>
    <col min="11" max="11" width="11.33203125" style="6" customWidth="1"/>
    <col min="12" max="12" width="5.5" style="6" bestFit="1" customWidth="1"/>
    <col min="13" max="13" width="2.6640625" style="6" customWidth="1"/>
    <col min="14" max="14" width="11.33203125" style="6" customWidth="1"/>
    <col min="15" max="15" width="5.5" style="6" bestFit="1" customWidth="1"/>
    <col min="16" max="16384" width="8.83203125" style="6"/>
  </cols>
  <sheetData>
    <row r="1" spans="1:15" ht="15" customHeight="1" x14ac:dyDescent="0.15">
      <c r="A1" s="1" t="s">
        <v>71</v>
      </c>
    </row>
    <row r="2" spans="1:15" s="4" customFormat="1" ht="15" customHeight="1" x14ac:dyDescent="0.15">
      <c r="C2" s="3" t="s">
        <v>42</v>
      </c>
      <c r="D2" s="3"/>
      <c r="E2" s="4" t="s">
        <v>180</v>
      </c>
      <c r="H2" s="4" t="s">
        <v>36</v>
      </c>
      <c r="K2" s="4" t="s">
        <v>37</v>
      </c>
      <c r="N2" s="4" t="s">
        <v>38</v>
      </c>
    </row>
    <row r="3" spans="1:15" ht="15" customHeight="1" x14ac:dyDescent="0.15">
      <c r="A3" s="1" t="s">
        <v>102</v>
      </c>
      <c r="C3" s="5"/>
      <c r="D3" s="5"/>
    </row>
    <row r="4" spans="1:15" s="16" customFormat="1" ht="15" customHeight="1" x14ac:dyDescent="0.15">
      <c r="A4" s="1"/>
      <c r="B4" s="7" t="s">
        <v>229</v>
      </c>
      <c r="C4" s="15" t="s">
        <v>92</v>
      </c>
      <c r="D4" s="15"/>
      <c r="E4" s="37">
        <f>SUM('P &amp; L by Qtr'!E4:H4)</f>
        <v>1480000</v>
      </c>
      <c r="F4" s="45">
        <f>E4/E$6</f>
        <v>0.93446584700963031</v>
      </c>
      <c r="H4" s="37">
        <f>SUM('P &amp; L by Qtr'!I4:L4)</f>
        <v>7696500</v>
      </c>
      <c r="I4" s="45">
        <f>H4/H$6</f>
        <v>0.89062938515455847</v>
      </c>
      <c r="K4" s="37">
        <f>SUM('P &amp; L by Qtr'!M4:P4)</f>
        <v>22188000</v>
      </c>
      <c r="L4" s="45">
        <f>K4/K$6</f>
        <v>0.86732056897102205</v>
      </c>
      <c r="N4" s="37">
        <f>SUM('P &amp; L by Qtr'!Q4:T4)</f>
        <v>45952000</v>
      </c>
      <c r="O4" s="45">
        <f>N4/N$6</f>
        <v>0.83597518474389254</v>
      </c>
    </row>
    <row r="5" spans="1:15" s="16" customFormat="1" ht="15" customHeight="1" x14ac:dyDescent="0.15">
      <c r="A5" s="1"/>
      <c r="B5" s="7" t="s">
        <v>230</v>
      </c>
      <c r="C5" s="15" t="s">
        <v>92</v>
      </c>
      <c r="D5" s="15"/>
      <c r="E5" s="37">
        <f>SUM('P &amp; L by Qtr'!E5:H5)</f>
        <v>103792.5</v>
      </c>
      <c r="F5" s="45">
        <f>E5/E$6</f>
        <v>6.5534152990369632E-2</v>
      </c>
      <c r="H5" s="37">
        <f>SUM('P &amp; L by Qtr'!I5:L5)</f>
        <v>945141.6618281249</v>
      </c>
      <c r="I5" s="45">
        <f>H5/H$6</f>
        <v>0.1093706148454415</v>
      </c>
      <c r="K5" s="37">
        <f>SUM('P &amp; L by Qtr'!M5:P5)</f>
        <v>3394236.5960068936</v>
      </c>
      <c r="L5" s="45">
        <f>K5/K$6</f>
        <v>0.132679431028978</v>
      </c>
      <c r="N5" s="37">
        <f>SUM('P &amp; L by Qtr'!Q5:T5)</f>
        <v>9016138.8139263391</v>
      </c>
      <c r="O5" s="45">
        <f>N5/N$6</f>
        <v>0.16402481525610749</v>
      </c>
    </row>
    <row r="6" spans="1:15" s="1" customFormat="1" ht="15" customHeight="1" x14ac:dyDescent="0.15">
      <c r="B6" s="4" t="s">
        <v>85</v>
      </c>
      <c r="C6" s="5"/>
      <c r="D6" s="5"/>
      <c r="E6" s="46">
        <f>SUM(E4:E5)</f>
        <v>1583792.5</v>
      </c>
      <c r="F6" s="47">
        <f>E6/E$6</f>
        <v>1</v>
      </c>
      <c r="H6" s="46">
        <f>SUM(H4:H5)</f>
        <v>8641641.6618281249</v>
      </c>
      <c r="I6" s="47">
        <f>H6/H$6</f>
        <v>1</v>
      </c>
      <c r="K6" s="46">
        <f>SUM(K4:K5)</f>
        <v>25582236.596006893</v>
      </c>
      <c r="L6" s="47">
        <f>K6/K$6</f>
        <v>1</v>
      </c>
      <c r="N6" s="46">
        <f>SUM(N4:N5)</f>
        <v>54968138.813926339</v>
      </c>
      <c r="O6" s="47">
        <f>N6/N$6</f>
        <v>1</v>
      </c>
    </row>
    <row r="7" spans="1:15" ht="15" customHeight="1" x14ac:dyDescent="0.15">
      <c r="C7" s="5"/>
      <c r="D7" s="5"/>
      <c r="E7" s="14"/>
      <c r="F7" s="14"/>
      <c r="H7" s="14"/>
      <c r="I7" s="14"/>
      <c r="K7" s="14"/>
      <c r="L7" s="14"/>
      <c r="N7" s="14"/>
      <c r="O7" s="14"/>
    </row>
    <row r="8" spans="1:15" ht="15" customHeight="1" x14ac:dyDescent="0.15">
      <c r="A8" s="1" t="s">
        <v>178</v>
      </c>
      <c r="C8" s="5"/>
      <c r="D8" s="5"/>
      <c r="E8" s="14"/>
      <c r="F8" s="14"/>
      <c r="H8" s="14"/>
      <c r="I8" s="14"/>
      <c r="K8" s="14"/>
      <c r="L8" s="14"/>
      <c r="N8" s="14"/>
      <c r="O8" s="14"/>
    </row>
    <row r="9" spans="1:15" s="16" customFormat="1" ht="15" customHeight="1" x14ac:dyDescent="0.15">
      <c r="A9" s="1"/>
      <c r="B9" s="7" t="s">
        <v>0</v>
      </c>
      <c r="C9" s="15" t="s">
        <v>92</v>
      </c>
      <c r="D9" s="15"/>
      <c r="E9" s="37">
        <f>SUM('P &amp; L by Qtr'!E9:H9)</f>
        <v>967000</v>
      </c>
      <c r="F9" s="45"/>
      <c r="H9" s="37">
        <f>SUM('P &amp; L by Qtr'!I9:L9)</f>
        <v>3359550</v>
      </c>
      <c r="I9" s="45"/>
      <c r="K9" s="37">
        <f>SUM('P &amp; L by Qtr'!M9:P9)</f>
        <v>9004750</v>
      </c>
      <c r="L9" s="45"/>
      <c r="N9" s="37">
        <f>SUM('P &amp; L by Qtr'!Q9:T9)</f>
        <v>16050350</v>
      </c>
      <c r="O9" s="45"/>
    </row>
    <row r="10" spans="1:15" s="16" customFormat="1" ht="15" customHeight="1" x14ac:dyDescent="0.15">
      <c r="A10" s="1"/>
      <c r="B10" s="7" t="s">
        <v>1</v>
      </c>
      <c r="C10" s="15" t="s">
        <v>92</v>
      </c>
      <c r="D10" s="15"/>
      <c r="E10" s="37">
        <f>SUM('P &amp; L by Qtr'!E10:H10)</f>
        <v>101766.25</v>
      </c>
      <c r="F10" s="45"/>
      <c r="H10" s="37">
        <f>SUM('P &amp; L by Qtr'!I10:L10)</f>
        <v>503707.87010156253</v>
      </c>
      <c r="I10" s="45"/>
      <c r="K10" s="37">
        <f>SUM('P &amp; L by Qtr'!M10:P10)</f>
        <v>1201868.6997781608</v>
      </c>
      <c r="L10" s="45"/>
      <c r="N10" s="37">
        <f>SUM('P &amp; L by Qtr'!Q10:T10)</f>
        <v>2343446.6007736856</v>
      </c>
      <c r="O10" s="45"/>
    </row>
    <row r="11" spans="1:15" ht="15" customHeight="1" x14ac:dyDescent="0.15">
      <c r="A11" s="1" t="s">
        <v>12</v>
      </c>
      <c r="B11" s="4" t="s">
        <v>2</v>
      </c>
      <c r="C11" s="5"/>
      <c r="D11" s="5"/>
      <c r="E11" s="46">
        <f>SUM(E9:E10)</f>
        <v>1068766.25</v>
      </c>
      <c r="F11" s="47">
        <f>E11/E$6</f>
        <v>0.67481456693348407</v>
      </c>
      <c r="H11" s="46">
        <f>SUM(H9:H10)</f>
        <v>3863257.8701015627</v>
      </c>
      <c r="I11" s="47">
        <f>H11/H$6</f>
        <v>0.44705138459586358</v>
      </c>
      <c r="K11" s="46">
        <f>SUM(K9:K10)</f>
        <v>10206618.69977816</v>
      </c>
      <c r="L11" s="47">
        <f>K11/K$6</f>
        <v>0.39897288344879517</v>
      </c>
      <c r="N11" s="46">
        <f>SUM(N9:N10)</f>
        <v>18393796.600773685</v>
      </c>
      <c r="O11" s="47">
        <f>N11/N$6</f>
        <v>0.33462651269745308</v>
      </c>
    </row>
    <row r="12" spans="1:15" ht="15" customHeight="1" x14ac:dyDescent="0.15">
      <c r="B12" s="4"/>
      <c r="C12" s="5"/>
      <c r="D12" s="5"/>
      <c r="E12" s="40"/>
      <c r="F12" s="48"/>
      <c r="H12" s="40"/>
      <c r="I12" s="48"/>
      <c r="K12" s="40"/>
      <c r="L12" s="48"/>
      <c r="N12" s="40"/>
      <c r="O12" s="48"/>
    </row>
    <row r="13" spans="1:15" ht="15" customHeight="1" x14ac:dyDescent="0.15">
      <c r="A13" s="1" t="s">
        <v>69</v>
      </c>
      <c r="B13" s="4"/>
      <c r="C13" s="5"/>
      <c r="D13" s="5"/>
      <c r="E13" s="14"/>
      <c r="F13" s="14"/>
      <c r="H13" s="14"/>
      <c r="I13" s="14"/>
      <c r="K13" s="14"/>
      <c r="L13" s="14"/>
      <c r="N13" s="14"/>
      <c r="O13" s="14"/>
    </row>
    <row r="14" spans="1:15" s="16" customFormat="1" ht="15" customHeight="1" x14ac:dyDescent="0.15">
      <c r="A14" s="1"/>
      <c r="B14" s="7" t="s">
        <v>16</v>
      </c>
      <c r="C14" s="5"/>
      <c r="D14" s="5"/>
      <c r="E14" s="37">
        <f>SUM('P &amp; L by Qtr'!E14:H14)</f>
        <v>513000</v>
      </c>
      <c r="F14" s="45"/>
      <c r="H14" s="37">
        <f>SUM('P &amp; L by Qtr'!I14:L14)</f>
        <v>4336950</v>
      </c>
      <c r="I14" s="45"/>
      <c r="K14" s="37">
        <f>SUM('P &amp; L by Qtr'!M14:P14)</f>
        <v>13183250</v>
      </c>
      <c r="L14" s="45"/>
      <c r="N14" s="37">
        <f>SUM('P &amp; L by Qtr'!Q14:T14)</f>
        <v>29901650</v>
      </c>
      <c r="O14" s="45"/>
    </row>
    <row r="15" spans="1:15" s="16" customFormat="1" ht="15" customHeight="1" x14ac:dyDescent="0.15">
      <c r="A15" s="1"/>
      <c r="B15" s="7" t="s">
        <v>17</v>
      </c>
      <c r="C15" s="5"/>
      <c r="D15" s="5"/>
      <c r="E15" s="37">
        <f>SUM('P &amp; L by Qtr'!E15:H15)</f>
        <v>2026.25</v>
      </c>
      <c r="F15" s="45"/>
      <c r="H15" s="37">
        <f>SUM('P &amp; L by Qtr'!I15:L15)</f>
        <v>441433.79172656237</v>
      </c>
      <c r="I15" s="45"/>
      <c r="K15" s="37">
        <f>SUM('P &amp; L by Qtr'!M15:P15)</f>
        <v>2192367.896228733</v>
      </c>
      <c r="L15" s="45"/>
      <c r="N15" s="37">
        <f>SUM('P &amp; L by Qtr'!Q15:T15)</f>
        <v>6672692.2131526535</v>
      </c>
      <c r="O15" s="45"/>
    </row>
    <row r="16" spans="1:15" s="1" customFormat="1" ht="15" customHeight="1" x14ac:dyDescent="0.15">
      <c r="B16" s="4" t="s">
        <v>5</v>
      </c>
      <c r="C16" s="5"/>
      <c r="D16" s="5"/>
      <c r="E16" s="46">
        <f>SUM(E14:E15)</f>
        <v>515026.25</v>
      </c>
      <c r="F16" s="47">
        <f>E16/E$6</f>
        <v>0.32518543306651598</v>
      </c>
      <c r="G16" s="6"/>
      <c r="H16" s="46">
        <f>SUM(H14:H15)</f>
        <v>4778383.7917265622</v>
      </c>
      <c r="I16" s="47">
        <f>H16/H$6</f>
        <v>0.55294861540413642</v>
      </c>
      <c r="J16" s="6"/>
      <c r="K16" s="46">
        <f>SUM(K14:K15)</f>
        <v>15375617.896228733</v>
      </c>
      <c r="L16" s="47">
        <f>K16/K$6</f>
        <v>0.60102711655120489</v>
      </c>
      <c r="M16" s="6"/>
      <c r="N16" s="46">
        <f>SUM(N14:N15)</f>
        <v>36574342.213152654</v>
      </c>
      <c r="O16" s="47">
        <f>N16/N$6</f>
        <v>0.66537348730254697</v>
      </c>
    </row>
    <row r="17" spans="1:15" ht="15" customHeight="1" x14ac:dyDescent="0.15">
      <c r="C17" s="5"/>
      <c r="D17" s="5"/>
      <c r="E17" s="14"/>
      <c r="F17" s="14"/>
      <c r="H17" s="14"/>
      <c r="I17" s="14"/>
      <c r="K17" s="14"/>
      <c r="L17" s="14"/>
      <c r="N17" s="14"/>
      <c r="O17" s="14"/>
    </row>
    <row r="18" spans="1:15" ht="15" customHeight="1" x14ac:dyDescent="0.15">
      <c r="A18" s="1" t="s">
        <v>179</v>
      </c>
      <c r="C18" s="5"/>
      <c r="D18" s="5"/>
      <c r="E18" s="14"/>
      <c r="F18" s="14"/>
      <c r="H18" s="14"/>
      <c r="I18" s="14"/>
      <c r="K18" s="14"/>
      <c r="L18" s="14"/>
      <c r="N18" s="14"/>
      <c r="O18" s="14"/>
    </row>
    <row r="19" spans="1:15" s="16" customFormat="1" ht="15" customHeight="1" x14ac:dyDescent="0.15">
      <c r="A19" s="1"/>
      <c r="B19" s="7" t="s">
        <v>235</v>
      </c>
      <c r="C19" s="15" t="s">
        <v>92</v>
      </c>
      <c r="D19" s="15"/>
      <c r="E19" s="37">
        <f>SUM('P &amp; L by Qtr'!E19:H19)</f>
        <v>1450500</v>
      </c>
      <c r="F19" s="45">
        <f>E19/E$6</f>
        <v>0.91583966965369512</v>
      </c>
      <c r="H19" s="37">
        <f>SUM('P &amp; L by Qtr'!I19:L19)</f>
        <v>3368950</v>
      </c>
      <c r="I19" s="45">
        <f>H19/H$6</f>
        <v>0.38985069409685569</v>
      </c>
      <c r="K19" s="37">
        <f>SUM('P &amp; L by Qtr'!M19:P19)</f>
        <v>5204650</v>
      </c>
      <c r="L19" s="45">
        <f>K19/K$6</f>
        <v>0.20344780959505274</v>
      </c>
      <c r="N19" s="37">
        <f>SUM('P &amp; L by Qtr'!Q19:T19)</f>
        <v>7732800</v>
      </c>
      <c r="O19" s="45">
        <f>N19/N$6</f>
        <v>0.14067785751626855</v>
      </c>
    </row>
    <row r="20" spans="1:15" s="16" customFormat="1" ht="15" customHeight="1" x14ac:dyDescent="0.15">
      <c r="A20" s="1"/>
      <c r="B20" s="7" t="s">
        <v>208</v>
      </c>
      <c r="C20" s="15" t="s">
        <v>92</v>
      </c>
      <c r="D20" s="15"/>
      <c r="E20" s="37">
        <f>SUM('P &amp; L by Qtr'!E20:H20)</f>
        <v>1675000</v>
      </c>
      <c r="F20" s="45">
        <f>E20/E$6</f>
        <v>1.0575880363115748</v>
      </c>
      <c r="H20" s="37">
        <f>SUM('P &amp; L by Qtr'!I20:L20)</f>
        <v>3328525</v>
      </c>
      <c r="I20" s="45">
        <f>H20/H$6</f>
        <v>0.38517276349270146</v>
      </c>
      <c r="K20" s="37">
        <f>SUM('P &amp; L by Qtr'!M20:P20)</f>
        <v>6806575</v>
      </c>
      <c r="L20" s="45">
        <f>K20/K$6</f>
        <v>0.2660664549190524</v>
      </c>
      <c r="N20" s="37">
        <f>SUM('P &amp; L by Qtr'!Q20:T20)</f>
        <v>12405325</v>
      </c>
      <c r="O20" s="45">
        <f>N20/N$6</f>
        <v>0.22568209998874975</v>
      </c>
    </row>
    <row r="21" spans="1:15" s="16" customFormat="1" ht="15" customHeight="1" x14ac:dyDescent="0.15">
      <c r="A21" s="1"/>
      <c r="B21" s="7" t="s">
        <v>236</v>
      </c>
      <c r="C21" s="15" t="s">
        <v>92</v>
      </c>
      <c r="D21" s="15"/>
      <c r="E21" s="37">
        <f>SUM('P &amp; L by Qtr'!E21:H21)</f>
        <v>1330600</v>
      </c>
      <c r="F21" s="49">
        <f>E21/E$6</f>
        <v>0.84013530812906367</v>
      </c>
      <c r="H21" s="37">
        <f>SUM('P &amp; L by Qtr'!I21:L21)</f>
        <v>2021100</v>
      </c>
      <c r="I21" s="49">
        <f>H21/H$6</f>
        <v>0.23387917239470904</v>
      </c>
      <c r="K21" s="37">
        <f>SUM('P &amp; L by Qtr'!M21:P21)</f>
        <v>3261050</v>
      </c>
      <c r="L21" s="49">
        <f>K21/K$6</f>
        <v>0.12747321711929652</v>
      </c>
      <c r="N21" s="37">
        <f>SUM('P &amp; L by Qtr'!Q21:T21)</f>
        <v>4401750</v>
      </c>
      <c r="O21" s="49">
        <f>N21/N$6</f>
        <v>8.0078207030084197E-2</v>
      </c>
    </row>
    <row r="22" spans="1:15" s="1" customFormat="1" ht="15" customHeight="1" x14ac:dyDescent="0.15">
      <c r="B22" s="4" t="s">
        <v>245</v>
      </c>
      <c r="C22" s="5"/>
      <c r="D22" s="5"/>
      <c r="E22" s="46">
        <f>SUM(E19:E21)</f>
        <v>4456100</v>
      </c>
      <c r="F22" s="47">
        <f>E22/E$6</f>
        <v>2.8135630140943335</v>
      </c>
      <c r="H22" s="46">
        <f>SUM(H19:H21)</f>
        <v>8718575</v>
      </c>
      <c r="I22" s="47">
        <f>H22/H$6</f>
        <v>1.0089026299842663</v>
      </c>
      <c r="K22" s="46">
        <f>SUM(K19:K21)</f>
        <v>15272275</v>
      </c>
      <c r="L22" s="47">
        <f>K22/K$6</f>
        <v>0.59698748163340165</v>
      </c>
      <c r="N22" s="46">
        <f>SUM(N19:N21)</f>
        <v>24539875</v>
      </c>
      <c r="O22" s="47">
        <f>N22/N$6</f>
        <v>0.44643816453510249</v>
      </c>
    </row>
    <row r="23" spans="1:15" ht="15" customHeight="1" x14ac:dyDescent="0.15">
      <c r="C23" s="5"/>
      <c r="D23" s="5"/>
      <c r="E23" s="14"/>
      <c r="F23" s="14"/>
      <c r="H23" s="14"/>
      <c r="I23" s="14"/>
      <c r="K23" s="14"/>
      <c r="L23" s="14"/>
      <c r="N23" s="14"/>
      <c r="O23" s="14"/>
    </row>
    <row r="24" spans="1:15" ht="15" customHeight="1" thickBot="1" x14ac:dyDescent="0.2">
      <c r="A24" s="1" t="s">
        <v>70</v>
      </c>
      <c r="C24" s="5"/>
      <c r="D24" s="5"/>
      <c r="E24" s="42">
        <f>E16-E22</f>
        <v>-3941073.75</v>
      </c>
      <c r="F24" s="50">
        <f>E24/E$6</f>
        <v>-2.4883775810278177</v>
      </c>
      <c r="H24" s="42">
        <f>H16-H22</f>
        <v>-3940191.2082734378</v>
      </c>
      <c r="I24" s="50">
        <f>H24/H$6</f>
        <v>-0.4559540145801298</v>
      </c>
      <c r="K24" s="42">
        <f>K16-K22</f>
        <v>103342.89622873254</v>
      </c>
      <c r="L24" s="50">
        <f>K24/K$6</f>
        <v>4.0396349178032087E-3</v>
      </c>
      <c r="N24" s="42">
        <f>N16-N22</f>
        <v>12034467.213152654</v>
      </c>
      <c r="O24" s="50">
        <f>N24/N$6</f>
        <v>0.21893532276744446</v>
      </c>
    </row>
    <row r="26" spans="1:15" ht="15" customHeight="1" thickBot="1" x14ac:dyDescent="0.2"/>
    <row r="27" spans="1:15" ht="15" customHeight="1" thickBot="1" x14ac:dyDescent="0.2">
      <c r="A27" s="138" t="s">
        <v>270</v>
      </c>
      <c r="B27" s="139"/>
      <c r="C27" s="134" t="s">
        <v>272</v>
      </c>
      <c r="F27" s="135"/>
      <c r="G27" s="135"/>
      <c r="H27" s="135"/>
      <c r="I27" s="6" t="s">
        <v>271</v>
      </c>
      <c r="J27" s="135"/>
      <c r="K27" s="135"/>
    </row>
    <row r="28" spans="1:15" ht="15" customHeight="1" x14ac:dyDescent="0.15">
      <c r="C28" s="136" t="s">
        <v>273</v>
      </c>
      <c r="I28" s="6" t="s">
        <v>271</v>
      </c>
    </row>
    <row r="29" spans="1:15" ht="15" customHeight="1" x14ac:dyDescent="0.15">
      <c r="C29" s="19" t="s">
        <v>274</v>
      </c>
      <c r="I29" s="6" t="s">
        <v>276</v>
      </c>
    </row>
    <row r="30" spans="1:15" ht="15" customHeight="1" x14ac:dyDescent="0.15">
      <c r="C30" s="137" t="s">
        <v>275</v>
      </c>
      <c r="I30" s="6" t="s">
        <v>277</v>
      </c>
    </row>
  </sheetData>
  <phoneticPr fontId="0" type="noConversion"/>
  <printOptions gridLines="1"/>
  <pageMargins left="1" right="1" top="1" bottom="1" header="0.5" footer="0.5"/>
  <pageSetup orientation="landscape" horizontalDpi="1200" verticalDpi="1200"/>
  <headerFooter alignWithMargins="0">
    <oddFooter>&amp;L&amp;A&amp;CPage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2"/>
  <sheetViews>
    <sheetView zoomScale="150" workbookViewId="0">
      <pane xSplit="3" ySplit="2" topLeftCell="D3" activePane="bottomRight" state="frozen"/>
      <selection pane="topRight" activeCell="D1" sqref="D1"/>
      <selection pane="bottomLeft" activeCell="A5" sqref="A5"/>
      <selection pane="bottomRight"/>
    </sheetView>
  </sheetViews>
  <sheetFormatPr baseColWidth="10" defaultColWidth="8.6640625" defaultRowHeight="15" customHeight="1" x14ac:dyDescent="0.15"/>
  <cols>
    <col min="1" max="1" width="3.6640625" style="1" customWidth="1"/>
    <col min="2" max="2" width="14.5" style="7" customWidth="1"/>
    <col min="3" max="3" width="9.1640625" style="5" bestFit="1" customWidth="1"/>
    <col min="4" max="4" width="1.83203125" style="5" customWidth="1"/>
    <col min="5" max="6" width="11.33203125" style="6" bestFit="1" customWidth="1"/>
    <col min="7" max="8" width="10.83203125" style="6" bestFit="1" customWidth="1"/>
    <col min="9" max="11" width="11.33203125" style="6" bestFit="1" customWidth="1"/>
    <col min="12" max="16" width="10.83203125" style="6" bestFit="1" customWidth="1"/>
    <col min="17" max="20" width="11.6640625" style="6" bestFit="1" customWidth="1"/>
    <col min="21" max="16384" width="8.6640625" style="6"/>
  </cols>
  <sheetData>
    <row r="1" spans="1:20" s="4" customFormat="1" ht="15" customHeight="1" x14ac:dyDescent="0.15">
      <c r="A1" s="2" t="s">
        <v>103</v>
      </c>
      <c r="C1" s="3" t="s">
        <v>42</v>
      </c>
      <c r="D1" s="3"/>
      <c r="E1" s="4" t="s">
        <v>73</v>
      </c>
      <c r="F1" s="4" t="s">
        <v>74</v>
      </c>
      <c r="G1" s="4" t="s">
        <v>75</v>
      </c>
      <c r="H1" s="4" t="s">
        <v>91</v>
      </c>
      <c r="I1" s="4" t="s">
        <v>73</v>
      </c>
      <c r="J1" s="4" t="s">
        <v>74</v>
      </c>
      <c r="K1" s="4" t="s">
        <v>75</v>
      </c>
      <c r="L1" s="4" t="s">
        <v>91</v>
      </c>
      <c r="M1" s="4" t="s">
        <v>73</v>
      </c>
      <c r="N1" s="4" t="s">
        <v>74</v>
      </c>
      <c r="O1" s="4" t="s">
        <v>75</v>
      </c>
      <c r="P1" s="4" t="s">
        <v>91</v>
      </c>
      <c r="Q1" s="4" t="s">
        <v>73</v>
      </c>
      <c r="R1" s="4" t="s">
        <v>74</v>
      </c>
      <c r="S1" s="4" t="s">
        <v>75</v>
      </c>
      <c r="T1" s="4" t="s">
        <v>91</v>
      </c>
    </row>
    <row r="2" spans="1:20" s="4" customFormat="1" ht="15" customHeight="1" x14ac:dyDescent="0.15">
      <c r="E2" s="4" t="s">
        <v>180</v>
      </c>
      <c r="F2" s="4" t="s">
        <v>180</v>
      </c>
      <c r="G2" s="4" t="s">
        <v>180</v>
      </c>
      <c r="H2" s="4" t="s">
        <v>180</v>
      </c>
      <c r="I2" s="4" t="s">
        <v>36</v>
      </c>
      <c r="J2" s="4" t="s">
        <v>36</v>
      </c>
      <c r="K2" s="4" t="s">
        <v>36</v>
      </c>
      <c r="L2" s="4" t="s">
        <v>36</v>
      </c>
      <c r="M2" s="4" t="s">
        <v>37</v>
      </c>
      <c r="N2" s="4" t="s">
        <v>37</v>
      </c>
      <c r="O2" s="4" t="s">
        <v>37</v>
      </c>
      <c r="P2" s="4" t="s">
        <v>37</v>
      </c>
      <c r="Q2" s="4" t="s">
        <v>38</v>
      </c>
      <c r="R2" s="4" t="s">
        <v>38</v>
      </c>
      <c r="S2" s="4" t="s">
        <v>38</v>
      </c>
      <c r="T2" s="4" t="s">
        <v>38</v>
      </c>
    </row>
    <row r="3" spans="1:20" ht="15" customHeight="1" x14ac:dyDescent="0.15">
      <c r="A3" s="1" t="s">
        <v>102</v>
      </c>
      <c r="Q3" s="4"/>
      <c r="R3" s="4"/>
    </row>
    <row r="4" spans="1:20" s="16" customFormat="1" ht="15" customHeight="1" x14ac:dyDescent="0.15">
      <c r="A4" s="1"/>
      <c r="B4" s="7" t="s">
        <v>100</v>
      </c>
      <c r="C4" s="15" t="s">
        <v>43</v>
      </c>
      <c r="D4" s="15"/>
      <c r="E4" s="37">
        <f>'Sales Plan'!E28</f>
        <v>0</v>
      </c>
      <c r="F4" s="37">
        <f>'Sales Plan'!F28</f>
        <v>200000</v>
      </c>
      <c r="G4" s="37">
        <f>'Sales Plan'!G28</f>
        <v>480000</v>
      </c>
      <c r="H4" s="37">
        <f>'Sales Plan'!H28</f>
        <v>800000</v>
      </c>
      <c r="I4" s="37">
        <f>'Sales Plan'!I28</f>
        <v>1245000</v>
      </c>
      <c r="J4" s="37">
        <f>'Sales Plan'!J28</f>
        <v>1542000</v>
      </c>
      <c r="K4" s="37">
        <f>'Sales Plan'!K28</f>
        <v>2119500</v>
      </c>
      <c r="L4" s="37">
        <f>'Sales Plan'!L28</f>
        <v>2790000</v>
      </c>
      <c r="M4" s="37">
        <f>'Sales Plan'!M28</f>
        <v>3632000</v>
      </c>
      <c r="N4" s="37">
        <f>'Sales Plan'!N28</f>
        <v>4296000</v>
      </c>
      <c r="O4" s="37">
        <f>'Sales Plan'!O28</f>
        <v>6020000</v>
      </c>
      <c r="P4" s="37">
        <f>'Sales Plan'!P28</f>
        <v>8240000</v>
      </c>
      <c r="Q4" s="37">
        <f>'Sales Plan'!Q28</f>
        <v>9072000</v>
      </c>
      <c r="R4" s="37">
        <f>'Sales Plan'!R28</f>
        <v>10960000</v>
      </c>
      <c r="S4" s="37">
        <f>'Sales Plan'!S28</f>
        <v>12080000</v>
      </c>
      <c r="T4" s="37">
        <f>'Sales Plan'!T28</f>
        <v>13840000</v>
      </c>
    </row>
    <row r="5" spans="1:20" s="16" customFormat="1" ht="15" customHeight="1" x14ac:dyDescent="0.15">
      <c r="A5" s="1"/>
      <c r="B5" s="7" t="s">
        <v>104</v>
      </c>
      <c r="C5" s="15" t="s">
        <v>43</v>
      </c>
      <c r="D5" s="15"/>
      <c r="E5" s="37">
        <f>'Sales Plan'!E33</f>
        <v>0</v>
      </c>
      <c r="F5" s="37">
        <f>'Sales Plan'!F33</f>
        <v>9000</v>
      </c>
      <c r="G5" s="37">
        <f>'Sales Plan'!G33</f>
        <v>30150</v>
      </c>
      <c r="H5" s="37">
        <f>'Sales Plan'!H33</f>
        <v>64642.5</v>
      </c>
      <c r="I5" s="37">
        <f>'Sales Plan'!I33</f>
        <v>117435.375</v>
      </c>
      <c r="J5" s="37">
        <f>'Sales Plan'!J33</f>
        <v>180953.60624999998</v>
      </c>
      <c r="K5" s="37">
        <f>'Sales Plan'!K33</f>
        <v>267283.42593749997</v>
      </c>
      <c r="L5" s="37">
        <f>'Sales Plan'!L33</f>
        <v>379469.25464062492</v>
      </c>
      <c r="M5" s="37">
        <f>'Sales Plan'!M33</f>
        <v>523935.79190859362</v>
      </c>
      <c r="N5" s="37">
        <f>'Sales Plan'!N33</f>
        <v>691059.00231316395</v>
      </c>
      <c r="O5" s="37">
        <f>'Sales Plan'!O33</f>
        <v>927406.05219750572</v>
      </c>
      <c r="P5" s="37">
        <f>'Sales Plan'!P33</f>
        <v>1251835.7495876304</v>
      </c>
      <c r="Q5" s="37">
        <f>'Sales Plan'!Q33</f>
        <v>1597483.9621082488</v>
      </c>
      <c r="R5" s="37">
        <f>'Sales Plan'!R33</f>
        <v>2010809.7640028363</v>
      </c>
      <c r="S5" s="37">
        <f>'Sales Plan'!S33</f>
        <v>2453869.2758026943</v>
      </c>
      <c r="T5" s="37">
        <f>'Sales Plan'!T33</f>
        <v>2953975.8120125597</v>
      </c>
    </row>
    <row r="6" spans="1:20" s="1" customFormat="1" ht="15" customHeight="1" x14ac:dyDescent="0.15">
      <c r="B6" s="4" t="s">
        <v>105</v>
      </c>
      <c r="C6" s="5"/>
      <c r="D6" s="5"/>
      <c r="E6" s="38">
        <f t="shared" ref="E6:T6" si="0">SUM(E4:E5)</f>
        <v>0</v>
      </c>
      <c r="F6" s="38">
        <f t="shared" si="0"/>
        <v>209000</v>
      </c>
      <c r="G6" s="38">
        <f t="shared" si="0"/>
        <v>510150</v>
      </c>
      <c r="H6" s="38">
        <f t="shared" si="0"/>
        <v>864642.5</v>
      </c>
      <c r="I6" s="38">
        <f t="shared" si="0"/>
        <v>1362435.375</v>
      </c>
      <c r="J6" s="38">
        <f t="shared" si="0"/>
        <v>1722953.60625</v>
      </c>
      <c r="K6" s="38">
        <f t="shared" si="0"/>
        <v>2386783.4259374999</v>
      </c>
      <c r="L6" s="38">
        <f t="shared" si="0"/>
        <v>3169469.2546406249</v>
      </c>
      <c r="M6" s="38">
        <f t="shared" si="0"/>
        <v>4155935.7919085938</v>
      </c>
      <c r="N6" s="38">
        <f t="shared" si="0"/>
        <v>4987059.0023131641</v>
      </c>
      <c r="O6" s="38">
        <f t="shared" si="0"/>
        <v>6947406.0521975057</v>
      </c>
      <c r="P6" s="38">
        <f t="shared" si="0"/>
        <v>9491835.7495876309</v>
      </c>
      <c r="Q6" s="38">
        <f t="shared" si="0"/>
        <v>10669483.962108249</v>
      </c>
      <c r="R6" s="38">
        <f t="shared" si="0"/>
        <v>12970809.764002837</v>
      </c>
      <c r="S6" s="38">
        <f t="shared" si="0"/>
        <v>14533869.275802694</v>
      </c>
      <c r="T6" s="38">
        <f t="shared" si="0"/>
        <v>16793975.812012561</v>
      </c>
    </row>
    <row r="7" spans="1:20" ht="15" customHeight="1" x14ac:dyDescent="0.15"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15" customHeight="1" x14ac:dyDescent="0.15">
      <c r="A8" s="1" t="s">
        <v>178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s="16" customFormat="1" ht="15" customHeight="1" x14ac:dyDescent="0.15">
      <c r="A9" s="1"/>
      <c r="B9" s="7" t="s">
        <v>0</v>
      </c>
      <c r="C9" s="15" t="s">
        <v>106</v>
      </c>
      <c r="D9" s="15"/>
      <c r="E9" s="37">
        <f>COGS!E47</f>
        <v>130500</v>
      </c>
      <c r="F9" s="37">
        <f>COGS!F47</f>
        <v>190500</v>
      </c>
      <c r="G9" s="37">
        <f>COGS!G47</f>
        <v>274500</v>
      </c>
      <c r="H9" s="37">
        <f>COGS!H47</f>
        <v>371500</v>
      </c>
      <c r="I9" s="37">
        <f>COGS!I47</f>
        <v>626875</v>
      </c>
      <c r="J9" s="37">
        <f>COGS!J47</f>
        <v>703350</v>
      </c>
      <c r="K9" s="37">
        <f>COGS!K47</f>
        <v>889125</v>
      </c>
      <c r="L9" s="37">
        <f>COGS!L47</f>
        <v>1140200</v>
      </c>
      <c r="M9" s="37">
        <f>COGS!M47</f>
        <v>1518775</v>
      </c>
      <c r="N9" s="37">
        <f>COGS!N47</f>
        <v>1799850</v>
      </c>
      <c r="O9" s="37">
        <f>COGS!O47</f>
        <v>2468625</v>
      </c>
      <c r="P9" s="37">
        <f>COGS!P47</f>
        <v>3217500</v>
      </c>
      <c r="Q9" s="37">
        <f>COGS!Q47</f>
        <v>3401075</v>
      </c>
      <c r="R9" s="37">
        <f>COGS!R47</f>
        <v>3858750</v>
      </c>
      <c r="S9" s="37">
        <f>COGS!S47</f>
        <v>4164725</v>
      </c>
      <c r="T9" s="37">
        <f>COGS!T47</f>
        <v>4625800</v>
      </c>
    </row>
    <row r="10" spans="1:20" s="16" customFormat="1" ht="15" customHeight="1" x14ac:dyDescent="0.15">
      <c r="A10" s="1"/>
      <c r="B10" s="7" t="s">
        <v>78</v>
      </c>
      <c r="C10" s="15" t="s">
        <v>107</v>
      </c>
      <c r="D10" s="15"/>
      <c r="E10" s="37">
        <f>COGS!E71</f>
        <v>24000</v>
      </c>
      <c r="F10" s="37">
        <f>COGS!F71</f>
        <v>24500</v>
      </c>
      <c r="G10" s="37">
        <f>COGS!G71</f>
        <v>25675</v>
      </c>
      <c r="H10" s="37">
        <f>COGS!H71</f>
        <v>27591.25</v>
      </c>
      <c r="I10" s="37">
        <f>COGS!I71</f>
        <v>91924.1875</v>
      </c>
      <c r="J10" s="37">
        <f>COGS!J71</f>
        <v>121652.97812499999</v>
      </c>
      <c r="K10" s="37">
        <f>COGS!K71</f>
        <v>128249.07921875</v>
      </c>
      <c r="L10" s="37">
        <f>COGS!L71</f>
        <v>161881.6252578125</v>
      </c>
      <c r="M10" s="37">
        <f>COGS!M71</f>
        <v>228982.54399492187</v>
      </c>
      <c r="N10" s="37">
        <f>COGS!N71</f>
        <v>267742.16679517576</v>
      </c>
      <c r="O10" s="37">
        <f>COGS!O71</f>
        <v>327897.55845541699</v>
      </c>
      <c r="P10" s="37">
        <f>COGS!P71</f>
        <v>377246.43053264613</v>
      </c>
      <c r="Q10" s="37">
        <f>COGS!Q71</f>
        <v>488949.10900601384</v>
      </c>
      <c r="R10" s="37">
        <f>COGS!R71</f>
        <v>545711.65355571313</v>
      </c>
      <c r="S10" s="37">
        <f>COGS!S71</f>
        <v>622676.07087792759</v>
      </c>
      <c r="T10" s="37">
        <f>COGS!T71</f>
        <v>686109.76733403117</v>
      </c>
    </row>
    <row r="11" spans="1:20" ht="15" customHeight="1" x14ac:dyDescent="0.15">
      <c r="B11" s="4" t="s">
        <v>108</v>
      </c>
      <c r="C11" s="15"/>
      <c r="D11" s="15"/>
      <c r="E11" s="38">
        <f>SUM(E9:E10)</f>
        <v>154500</v>
      </c>
      <c r="F11" s="38">
        <f t="shared" ref="F11:T11" si="1">SUM(F9:F10)</f>
        <v>215000</v>
      </c>
      <c r="G11" s="38">
        <f t="shared" si="1"/>
        <v>300175</v>
      </c>
      <c r="H11" s="38">
        <f t="shared" si="1"/>
        <v>399091.25</v>
      </c>
      <c r="I11" s="38">
        <f t="shared" si="1"/>
        <v>718799.1875</v>
      </c>
      <c r="J11" s="38">
        <f t="shared" si="1"/>
        <v>825002.97812500002</v>
      </c>
      <c r="K11" s="38">
        <f t="shared" si="1"/>
        <v>1017374.07921875</v>
      </c>
      <c r="L11" s="38">
        <f t="shared" si="1"/>
        <v>1302081.6252578124</v>
      </c>
      <c r="M11" s="38">
        <f t="shared" si="1"/>
        <v>1747757.543994922</v>
      </c>
      <c r="N11" s="38">
        <f t="shared" si="1"/>
        <v>2067592.1667951758</v>
      </c>
      <c r="O11" s="38">
        <f t="shared" si="1"/>
        <v>2796522.5584554169</v>
      </c>
      <c r="P11" s="38">
        <f t="shared" si="1"/>
        <v>3594746.4305326464</v>
      </c>
      <c r="Q11" s="38">
        <f t="shared" si="1"/>
        <v>3890024.1090060137</v>
      </c>
      <c r="R11" s="38">
        <f t="shared" si="1"/>
        <v>4404461.6535557136</v>
      </c>
      <c r="S11" s="38">
        <f t="shared" si="1"/>
        <v>4787401.0708779274</v>
      </c>
      <c r="T11" s="38">
        <f t="shared" si="1"/>
        <v>5311909.7673340309</v>
      </c>
    </row>
    <row r="12" spans="1:20" ht="15" customHeight="1" x14ac:dyDescent="0.15">
      <c r="A12" s="1" t="s">
        <v>12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15" customHeight="1" x14ac:dyDescent="0.15">
      <c r="A13" s="1" t="s">
        <v>69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15" customHeight="1" x14ac:dyDescent="0.15">
      <c r="B14" s="7" t="s">
        <v>3</v>
      </c>
      <c r="E14" s="14">
        <f t="shared" ref="E14:I15" si="2">E4-E9</f>
        <v>-130500</v>
      </c>
      <c r="F14" s="14">
        <f t="shared" si="2"/>
        <v>9500</v>
      </c>
      <c r="G14" s="14">
        <f t="shared" si="2"/>
        <v>205500</v>
      </c>
      <c r="H14" s="14">
        <f t="shared" si="2"/>
        <v>428500</v>
      </c>
      <c r="I14" s="14">
        <f t="shared" si="2"/>
        <v>618125</v>
      </c>
      <c r="J14" s="14">
        <f t="shared" ref="J14:T14" si="3">J4-J9</f>
        <v>838650</v>
      </c>
      <c r="K14" s="14">
        <f t="shared" si="3"/>
        <v>1230375</v>
      </c>
      <c r="L14" s="14">
        <f t="shared" si="3"/>
        <v>1649800</v>
      </c>
      <c r="M14" s="14">
        <f t="shared" si="3"/>
        <v>2113225</v>
      </c>
      <c r="N14" s="14">
        <f t="shared" si="3"/>
        <v>2496150</v>
      </c>
      <c r="O14" s="14">
        <f t="shared" si="3"/>
        <v>3551375</v>
      </c>
      <c r="P14" s="14">
        <f t="shared" si="3"/>
        <v>5022500</v>
      </c>
      <c r="Q14" s="14">
        <f t="shared" si="3"/>
        <v>5670925</v>
      </c>
      <c r="R14" s="14">
        <f t="shared" si="3"/>
        <v>7101250</v>
      </c>
      <c r="S14" s="14">
        <f t="shared" si="3"/>
        <v>7915275</v>
      </c>
      <c r="T14" s="14">
        <f t="shared" si="3"/>
        <v>9214200</v>
      </c>
    </row>
    <row r="15" spans="1:20" ht="15" customHeight="1" x14ac:dyDescent="0.15">
      <c r="B15" s="7" t="s">
        <v>4</v>
      </c>
      <c r="E15" s="14">
        <f t="shared" si="2"/>
        <v>-24000</v>
      </c>
      <c r="F15" s="14">
        <f t="shared" si="2"/>
        <v>-15500</v>
      </c>
      <c r="G15" s="14">
        <f t="shared" si="2"/>
        <v>4475</v>
      </c>
      <c r="H15" s="14">
        <f t="shared" si="2"/>
        <v>37051.25</v>
      </c>
      <c r="I15" s="14">
        <f t="shared" si="2"/>
        <v>25511.1875</v>
      </c>
      <c r="J15" s="14">
        <f t="shared" ref="J15:T15" si="4">J5-J10</f>
        <v>59300.628124999988</v>
      </c>
      <c r="K15" s="14">
        <f t="shared" si="4"/>
        <v>139034.34671874996</v>
      </c>
      <c r="L15" s="14">
        <f t="shared" si="4"/>
        <v>217587.62938281242</v>
      </c>
      <c r="M15" s="14">
        <f t="shared" si="4"/>
        <v>294953.24791367177</v>
      </c>
      <c r="N15" s="14">
        <f t="shared" si="4"/>
        <v>423316.83551798819</v>
      </c>
      <c r="O15" s="14">
        <f t="shared" si="4"/>
        <v>599508.49374208879</v>
      </c>
      <c r="P15" s="14">
        <f t="shared" si="4"/>
        <v>874589.31905498425</v>
      </c>
      <c r="Q15" s="14">
        <f t="shared" si="4"/>
        <v>1108534.8531022351</v>
      </c>
      <c r="R15" s="14">
        <f t="shared" si="4"/>
        <v>1465098.1104471232</v>
      </c>
      <c r="S15" s="14">
        <f t="shared" si="4"/>
        <v>1831193.2049247667</v>
      </c>
      <c r="T15" s="14">
        <f t="shared" si="4"/>
        <v>2267866.0446785288</v>
      </c>
    </row>
    <row r="16" spans="1:20" s="1" customFormat="1" ht="15" customHeight="1" x14ac:dyDescent="0.15">
      <c r="B16" s="4" t="s">
        <v>116</v>
      </c>
      <c r="C16" s="5"/>
      <c r="D16" s="5"/>
      <c r="E16" s="38">
        <f>SUM(E14:E15)</f>
        <v>-154500</v>
      </c>
      <c r="F16" s="38">
        <f>SUM(F14:F15)</f>
        <v>-6000</v>
      </c>
      <c r="G16" s="38">
        <f>SUM(G14:G15)</f>
        <v>209975</v>
      </c>
      <c r="H16" s="38">
        <f>SUM(H14:H15)</f>
        <v>465551.25</v>
      </c>
      <c r="I16" s="38">
        <f t="shared" ref="I16:T16" si="5">SUM(I14:I15)</f>
        <v>643636.1875</v>
      </c>
      <c r="J16" s="38">
        <f t="shared" si="5"/>
        <v>897950.62812500005</v>
      </c>
      <c r="K16" s="38">
        <f t="shared" si="5"/>
        <v>1369409.34671875</v>
      </c>
      <c r="L16" s="38">
        <f t="shared" si="5"/>
        <v>1867387.6293828124</v>
      </c>
      <c r="M16" s="38">
        <f t="shared" si="5"/>
        <v>2408178.2479136717</v>
      </c>
      <c r="N16" s="38">
        <f t="shared" si="5"/>
        <v>2919466.8355179881</v>
      </c>
      <c r="O16" s="38">
        <f t="shared" si="5"/>
        <v>4150883.4937420888</v>
      </c>
      <c r="P16" s="38">
        <f t="shared" si="5"/>
        <v>5897089.3190549845</v>
      </c>
      <c r="Q16" s="38">
        <f t="shared" si="5"/>
        <v>6779459.8531022351</v>
      </c>
      <c r="R16" s="38">
        <f t="shared" si="5"/>
        <v>8566348.1104471236</v>
      </c>
      <c r="S16" s="38">
        <f t="shared" si="5"/>
        <v>9746468.204924766</v>
      </c>
      <c r="T16" s="38">
        <f t="shared" si="5"/>
        <v>11482066.044678528</v>
      </c>
    </row>
    <row r="17" spans="1:20" s="1" customFormat="1" ht="15" customHeight="1" x14ac:dyDescent="0.15">
      <c r="B17" s="4"/>
      <c r="C17" s="5"/>
      <c r="D17" s="5"/>
      <c r="E17" s="39"/>
      <c r="F17" s="39"/>
      <c r="G17" s="39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ht="15" customHeight="1" x14ac:dyDescent="0.15">
      <c r="A18" s="1" t="s">
        <v>179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s="16" customFormat="1" ht="15" customHeight="1" x14ac:dyDescent="0.15">
      <c r="A19" s="1"/>
      <c r="B19" s="7" t="s">
        <v>234</v>
      </c>
      <c r="C19" s="15" t="s">
        <v>179</v>
      </c>
      <c r="D19" s="15"/>
      <c r="E19" s="37">
        <f>Expenses!E7</f>
        <v>303500</v>
      </c>
      <c r="F19" s="37">
        <f>Expenses!F7</f>
        <v>327500</v>
      </c>
      <c r="G19" s="37">
        <f>Expenses!G7</f>
        <v>376000</v>
      </c>
      <c r="H19" s="37">
        <f>Expenses!H7</f>
        <v>443500</v>
      </c>
      <c r="I19" s="37">
        <f>Expenses!I7</f>
        <v>661725</v>
      </c>
      <c r="J19" s="37">
        <f>Expenses!J7</f>
        <v>790050</v>
      </c>
      <c r="K19" s="37">
        <f>Expenses!K7</f>
        <v>901575</v>
      </c>
      <c r="L19" s="37">
        <f>Expenses!L7</f>
        <v>1015600</v>
      </c>
      <c r="M19" s="37">
        <f>Expenses!M7</f>
        <v>1132125</v>
      </c>
      <c r="N19" s="37">
        <f>Expenses!N7</f>
        <v>1227150</v>
      </c>
      <c r="O19" s="37">
        <f>Expenses!O7</f>
        <v>1389275</v>
      </c>
      <c r="P19" s="37">
        <f>Expenses!P7</f>
        <v>1456100</v>
      </c>
      <c r="Q19" s="37">
        <f>Expenses!Q7</f>
        <v>1621175</v>
      </c>
      <c r="R19" s="37">
        <f>Expenses!R7</f>
        <v>1847250</v>
      </c>
      <c r="S19" s="37">
        <f>Expenses!S7</f>
        <v>2045375</v>
      </c>
      <c r="T19" s="37">
        <f>Expenses!T7</f>
        <v>2219000</v>
      </c>
    </row>
    <row r="20" spans="1:20" s="16" customFormat="1" ht="15" customHeight="1" x14ac:dyDescent="0.15">
      <c r="A20" s="1"/>
      <c r="B20" s="7" t="s">
        <v>207</v>
      </c>
      <c r="C20" s="15" t="s">
        <v>179</v>
      </c>
      <c r="D20" s="15"/>
      <c r="E20" s="37">
        <f>Expenses!E13+Expenses!E20</f>
        <v>329500</v>
      </c>
      <c r="F20" s="37">
        <f>Expenses!F13+Expenses!F20</f>
        <v>354500</v>
      </c>
      <c r="G20" s="37">
        <f>Expenses!G13+Expenses!G20</f>
        <v>458000</v>
      </c>
      <c r="H20" s="37">
        <f>Expenses!H13+Expenses!H20</f>
        <v>533000</v>
      </c>
      <c r="I20" s="37">
        <f>Expenses!I13+Expenses!I20</f>
        <v>664150</v>
      </c>
      <c r="J20" s="37">
        <f>Expenses!J13+Expenses!J20</f>
        <v>772300</v>
      </c>
      <c r="K20" s="37">
        <f>Expenses!K13+Expenses!K20</f>
        <v>868675</v>
      </c>
      <c r="L20" s="37">
        <f>Expenses!L13+Expenses!L20</f>
        <v>1023400</v>
      </c>
      <c r="M20" s="37">
        <f>Expenses!M13+Expenses!M20</f>
        <v>1239875</v>
      </c>
      <c r="N20" s="37">
        <f>Expenses!N13+Expenses!N20</f>
        <v>1604500</v>
      </c>
      <c r="O20" s="37">
        <f>Expenses!O13+Expenses!O20</f>
        <v>1793200</v>
      </c>
      <c r="P20" s="37">
        <f>Expenses!P13+Expenses!P20</f>
        <v>2169000</v>
      </c>
      <c r="Q20" s="37">
        <f>Expenses!Q13+Expenses!Q20</f>
        <v>2377925</v>
      </c>
      <c r="R20" s="37">
        <f>Expenses!R13+Expenses!R20</f>
        <v>2963750</v>
      </c>
      <c r="S20" s="37">
        <f>Expenses!S13+Expenses!S20</f>
        <v>3228850.0000000005</v>
      </c>
      <c r="T20" s="37">
        <f>Expenses!T13+Expenses!T20</f>
        <v>3834800.0000000005</v>
      </c>
    </row>
    <row r="21" spans="1:20" s="16" customFormat="1" ht="15" customHeight="1" x14ac:dyDescent="0.15">
      <c r="A21" s="1"/>
      <c r="B21" s="7" t="s">
        <v>236</v>
      </c>
      <c r="C21" s="15" t="s">
        <v>179</v>
      </c>
      <c r="D21" s="15"/>
      <c r="E21" s="41">
        <f>Expenses!E28</f>
        <v>323200</v>
      </c>
      <c r="F21" s="41">
        <f>Expenses!F28</f>
        <v>328800</v>
      </c>
      <c r="G21" s="41">
        <f>Expenses!G28</f>
        <v>336200</v>
      </c>
      <c r="H21" s="41">
        <f>Expenses!H28</f>
        <v>342400</v>
      </c>
      <c r="I21" s="41">
        <f>Expenses!I28</f>
        <v>482450</v>
      </c>
      <c r="J21" s="41">
        <f>Expenses!J28</f>
        <v>488700</v>
      </c>
      <c r="K21" s="41">
        <f>Expenses!K28</f>
        <v>521950</v>
      </c>
      <c r="L21" s="41">
        <f>Expenses!L28</f>
        <v>528000</v>
      </c>
      <c r="M21" s="41">
        <f>Expenses!M28</f>
        <v>784550</v>
      </c>
      <c r="N21" s="41">
        <f>Expenses!N28</f>
        <v>794300</v>
      </c>
      <c r="O21" s="41">
        <f>Expenses!O28</f>
        <v>836600</v>
      </c>
      <c r="P21" s="41">
        <f>Expenses!P28</f>
        <v>845600</v>
      </c>
      <c r="Q21" s="41">
        <f>Expenses!Q28</f>
        <v>1059100</v>
      </c>
      <c r="R21" s="41">
        <f>Expenses!R28</f>
        <v>1083000</v>
      </c>
      <c r="S21" s="41">
        <f>Expenses!S28</f>
        <v>1095250</v>
      </c>
      <c r="T21" s="41">
        <f>Expenses!T28</f>
        <v>1164400</v>
      </c>
    </row>
    <row r="22" spans="1:20" s="1" customFormat="1" ht="15" customHeight="1" x14ac:dyDescent="0.15">
      <c r="B22" s="4" t="s">
        <v>245</v>
      </c>
      <c r="C22" s="5"/>
      <c r="D22" s="5"/>
      <c r="E22" s="39">
        <f>SUM(E19:E21)</f>
        <v>956200</v>
      </c>
      <c r="F22" s="39">
        <f t="shared" ref="F22:T22" si="6">SUM(F19:F21)</f>
        <v>1010800</v>
      </c>
      <c r="G22" s="39">
        <f t="shared" si="6"/>
        <v>1170200</v>
      </c>
      <c r="H22" s="39">
        <f t="shared" si="6"/>
        <v>1318900</v>
      </c>
      <c r="I22" s="39">
        <f t="shared" si="6"/>
        <v>1808325</v>
      </c>
      <c r="J22" s="39">
        <f t="shared" si="6"/>
        <v>2051050</v>
      </c>
      <c r="K22" s="39">
        <f t="shared" si="6"/>
        <v>2292200</v>
      </c>
      <c r="L22" s="39">
        <f t="shared" si="6"/>
        <v>2567000</v>
      </c>
      <c r="M22" s="39">
        <f t="shared" si="6"/>
        <v>3156550</v>
      </c>
      <c r="N22" s="39">
        <f t="shared" si="6"/>
        <v>3625950</v>
      </c>
      <c r="O22" s="39">
        <f t="shared" si="6"/>
        <v>4019075</v>
      </c>
      <c r="P22" s="39">
        <f t="shared" si="6"/>
        <v>4470700</v>
      </c>
      <c r="Q22" s="39">
        <f t="shared" si="6"/>
        <v>5058200</v>
      </c>
      <c r="R22" s="39">
        <f t="shared" si="6"/>
        <v>5894000</v>
      </c>
      <c r="S22" s="39">
        <f t="shared" si="6"/>
        <v>6369475</v>
      </c>
      <c r="T22" s="39">
        <f t="shared" si="6"/>
        <v>7218200</v>
      </c>
    </row>
    <row r="23" spans="1:20" ht="15" customHeight="1" x14ac:dyDescent="0.15"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5" customHeight="1" thickBot="1" x14ac:dyDescent="0.2">
      <c r="A24" s="1" t="s">
        <v>70</v>
      </c>
      <c r="E24" s="42">
        <f t="shared" ref="E24:T24" si="7">E16-E22</f>
        <v>-1110700</v>
      </c>
      <c r="F24" s="42">
        <f t="shared" si="7"/>
        <v>-1016800</v>
      </c>
      <c r="G24" s="42">
        <f t="shared" si="7"/>
        <v>-960225</v>
      </c>
      <c r="H24" s="42">
        <f t="shared" si="7"/>
        <v>-853348.75</v>
      </c>
      <c r="I24" s="42">
        <f t="shared" si="7"/>
        <v>-1164688.8125</v>
      </c>
      <c r="J24" s="42">
        <f t="shared" si="7"/>
        <v>-1153099.371875</v>
      </c>
      <c r="K24" s="42">
        <f t="shared" si="7"/>
        <v>-922790.65328125004</v>
      </c>
      <c r="L24" s="42">
        <f t="shared" si="7"/>
        <v>-699612.37061718758</v>
      </c>
      <c r="M24" s="42">
        <f t="shared" si="7"/>
        <v>-748371.75208632834</v>
      </c>
      <c r="N24" s="42">
        <f t="shared" si="7"/>
        <v>-706483.16448201193</v>
      </c>
      <c r="O24" s="42">
        <f t="shared" si="7"/>
        <v>131808.49374208879</v>
      </c>
      <c r="P24" s="42">
        <f t="shared" si="7"/>
        <v>1426389.3190549845</v>
      </c>
      <c r="Q24" s="42">
        <f t="shared" si="7"/>
        <v>1721259.8531022351</v>
      </c>
      <c r="R24" s="42">
        <f t="shared" si="7"/>
        <v>2672348.1104471236</v>
      </c>
      <c r="S24" s="42">
        <f t="shared" si="7"/>
        <v>3376993.204924766</v>
      </c>
      <c r="T24" s="42">
        <f t="shared" si="7"/>
        <v>4263866.0446785279</v>
      </c>
    </row>
    <row r="25" spans="1:20" ht="15" customHeight="1" thickTop="1" x14ac:dyDescent="0.15"/>
    <row r="26" spans="1:20" ht="15" customHeight="1" x14ac:dyDescent="0.15">
      <c r="A26" s="1" t="s">
        <v>109</v>
      </c>
    </row>
    <row r="27" spans="1:20" ht="15" customHeight="1" x14ac:dyDescent="0.15">
      <c r="B27" s="19" t="s">
        <v>225</v>
      </c>
      <c r="E27" s="106" t="s">
        <v>143</v>
      </c>
      <c r="F27" s="43">
        <f t="shared" ref="F27:T27" si="8">F24/F6</f>
        <v>-4.8650717703349287</v>
      </c>
      <c r="G27" s="43">
        <f t="shared" si="8"/>
        <v>-1.8822405174948544</v>
      </c>
      <c r="H27" s="43">
        <f t="shared" si="8"/>
        <v>-0.98693824326238877</v>
      </c>
      <c r="I27" s="43">
        <f t="shared" si="8"/>
        <v>-0.85485802399985389</v>
      </c>
      <c r="J27" s="43">
        <f t="shared" si="8"/>
        <v>-0.66925735416910914</v>
      </c>
      <c r="K27" s="43">
        <f t="shared" si="8"/>
        <v>-0.38662521419126622</v>
      </c>
      <c r="L27" s="43">
        <f t="shared" si="8"/>
        <v>-0.22073486581163074</v>
      </c>
      <c r="M27" s="43">
        <f t="shared" si="8"/>
        <v>-0.18007298224947843</v>
      </c>
      <c r="N27" s="43">
        <f t="shared" si="8"/>
        <v>-0.14166328574703477</v>
      </c>
      <c r="O27" s="43">
        <f t="shared" si="8"/>
        <v>1.8972331939688048E-2</v>
      </c>
      <c r="P27" s="43">
        <f t="shared" si="8"/>
        <v>0.1502753899968142</v>
      </c>
      <c r="Q27" s="43">
        <f t="shared" si="8"/>
        <v>0.16132550170328208</v>
      </c>
      <c r="R27" s="43">
        <f t="shared" si="8"/>
        <v>0.20602785478078184</v>
      </c>
      <c r="S27" s="43">
        <f t="shared" si="8"/>
        <v>0.23235334932777268</v>
      </c>
      <c r="T27" s="43">
        <f t="shared" si="8"/>
        <v>0.25389259174880002</v>
      </c>
    </row>
    <row r="28" spans="1:20" ht="15" customHeight="1" x14ac:dyDescent="0.15">
      <c r="B28" s="5"/>
    </row>
    <row r="29" spans="1:20" ht="15" customHeight="1" x14ac:dyDescent="0.15">
      <c r="B29" s="19" t="s">
        <v>226</v>
      </c>
      <c r="C29" s="7"/>
      <c r="E29" s="106" t="s">
        <v>143</v>
      </c>
      <c r="F29" s="43">
        <f t="shared" ref="F29:T29" si="9">F14/F4</f>
        <v>4.7500000000000001E-2</v>
      </c>
      <c r="G29" s="43">
        <f t="shared" si="9"/>
        <v>0.42812499999999998</v>
      </c>
      <c r="H29" s="43">
        <f t="shared" si="9"/>
        <v>0.53562500000000002</v>
      </c>
      <c r="I29" s="43">
        <f t="shared" si="9"/>
        <v>0.49648594377510041</v>
      </c>
      <c r="J29" s="43">
        <f t="shared" si="9"/>
        <v>0.54387159533073925</v>
      </c>
      <c r="K29" s="43">
        <f t="shared" si="9"/>
        <v>0.58050247699929225</v>
      </c>
      <c r="L29" s="43">
        <f t="shared" si="9"/>
        <v>0.59132616487455192</v>
      </c>
      <c r="M29" s="43">
        <f t="shared" si="9"/>
        <v>0.58183507709251103</v>
      </c>
      <c r="N29" s="43">
        <f t="shared" si="9"/>
        <v>0.58104050279329611</v>
      </c>
      <c r="O29" s="43">
        <f t="shared" si="9"/>
        <v>0.58992940199335553</v>
      </c>
      <c r="P29" s="43">
        <f t="shared" si="9"/>
        <v>0.60952669902912626</v>
      </c>
      <c r="Q29" s="43">
        <f t="shared" si="9"/>
        <v>0.62510196208112878</v>
      </c>
      <c r="R29" s="43">
        <f t="shared" si="9"/>
        <v>0.64792427007299269</v>
      </c>
      <c r="S29" s="43">
        <f t="shared" si="9"/>
        <v>0.65523799668874172</v>
      </c>
      <c r="T29" s="43">
        <f t="shared" si="9"/>
        <v>0.66576589595375724</v>
      </c>
    </row>
    <row r="30" spans="1:20" ht="15" customHeight="1" x14ac:dyDescent="0.15">
      <c r="B30" s="19" t="s">
        <v>227</v>
      </c>
      <c r="C30" s="7"/>
      <c r="E30" s="106" t="s">
        <v>143</v>
      </c>
      <c r="F30" s="43">
        <f t="shared" ref="F30:T30" si="10">F15/F5</f>
        <v>-1.7222222222222223</v>
      </c>
      <c r="G30" s="43">
        <f t="shared" si="10"/>
        <v>0.148424543946932</v>
      </c>
      <c r="H30" s="43">
        <f t="shared" si="10"/>
        <v>0.57317167498162969</v>
      </c>
      <c r="I30" s="43">
        <f t="shared" si="10"/>
        <v>0.21723596914473173</v>
      </c>
      <c r="J30" s="43">
        <f t="shared" si="10"/>
        <v>0.32771177847139477</v>
      </c>
      <c r="K30" s="43">
        <f t="shared" si="10"/>
        <v>0.52017571321934852</v>
      </c>
      <c r="L30" s="43">
        <f t="shared" si="10"/>
        <v>0.57339989135319558</v>
      </c>
      <c r="M30" s="43">
        <f t="shared" si="10"/>
        <v>0.56295685934953199</v>
      </c>
      <c r="N30" s="43">
        <f t="shared" si="10"/>
        <v>0.61256250783367361</v>
      </c>
      <c r="O30" s="43">
        <f t="shared" si="10"/>
        <v>0.64643582206687389</v>
      </c>
      <c r="P30" s="43">
        <f t="shared" si="10"/>
        <v>0.69864542480360092</v>
      </c>
      <c r="Q30" s="43">
        <f t="shared" si="10"/>
        <v>0.69392549746744714</v>
      </c>
      <c r="R30" s="43">
        <f t="shared" si="10"/>
        <v>0.72861099875038038</v>
      </c>
      <c r="S30" s="43">
        <f t="shared" si="10"/>
        <v>0.74624725244410517</v>
      </c>
      <c r="T30" s="43">
        <f t="shared" si="10"/>
        <v>0.76773345111902569</v>
      </c>
    </row>
    <row r="31" spans="1:20" ht="15" customHeight="1" x14ac:dyDescent="0.15">
      <c r="B31" s="19" t="s">
        <v>228</v>
      </c>
      <c r="C31" s="7"/>
      <c r="E31" s="106" t="s">
        <v>143</v>
      </c>
      <c r="F31" s="43">
        <f t="shared" ref="F31:T31" si="11">F16/F6</f>
        <v>-2.8708133971291867E-2</v>
      </c>
      <c r="G31" s="43">
        <f t="shared" si="11"/>
        <v>0.41159462903067723</v>
      </c>
      <c r="H31" s="43">
        <f t="shared" si="11"/>
        <v>0.53843206874517502</v>
      </c>
      <c r="I31" s="43">
        <f t="shared" si="11"/>
        <v>0.47241593936152754</v>
      </c>
      <c r="J31" s="43">
        <f t="shared" si="11"/>
        <v>0.52116935991061608</v>
      </c>
      <c r="K31" s="43">
        <f t="shared" si="11"/>
        <v>0.57374679739987822</v>
      </c>
      <c r="L31" s="43">
        <f t="shared" si="11"/>
        <v>0.58917991605334219</v>
      </c>
      <c r="M31" s="43">
        <f t="shared" si="11"/>
        <v>0.57945511396068206</v>
      </c>
      <c r="N31" s="43">
        <f t="shared" si="11"/>
        <v>0.5854085211672535</v>
      </c>
      <c r="O31" s="43">
        <f t="shared" si="11"/>
        <v>0.59747241813066898</v>
      </c>
      <c r="P31" s="43">
        <f t="shared" si="11"/>
        <v>0.62128016904540107</v>
      </c>
      <c r="Q31" s="43">
        <f t="shared" si="11"/>
        <v>0.63540653673400715</v>
      </c>
      <c r="R31" s="43">
        <f t="shared" si="11"/>
        <v>0.66043279227028917</v>
      </c>
      <c r="S31" s="43">
        <f t="shared" si="11"/>
        <v>0.67060381650408618</v>
      </c>
      <c r="T31" s="43">
        <f t="shared" si="11"/>
        <v>0.68370147564851935</v>
      </c>
    </row>
    <row r="32" spans="1:20" ht="15" customHeight="1" x14ac:dyDescent="0.15">
      <c r="C32" s="7"/>
      <c r="E32" s="14"/>
      <c r="F32" s="44"/>
      <c r="I32" s="43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</sheetData>
  <phoneticPr fontId="0" type="noConversion"/>
  <printOptions gridLines="1" gridLinesSet="0"/>
  <pageMargins left="0.25" right="0.25" top="1" bottom="1" header="0.5" footer="0.5"/>
  <pageSetup orientation="landscape" horizontalDpi="300" verticalDpi="300"/>
  <headerFooter alignWithMargins="0">
    <oddFooter>&amp;L&amp;A&amp;CPage &amp;P</oddFooter>
  </headerFooter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8"/>
  <sheetViews>
    <sheetView zoomScale="150" workbookViewId="0">
      <pane xSplit="3" ySplit="2" topLeftCell="F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9" defaultRowHeight="13" x14ac:dyDescent="0.15"/>
  <cols>
    <col min="1" max="1" width="4" style="1" customWidth="1"/>
    <col min="2" max="2" width="21.33203125" style="7" bestFit="1" customWidth="1"/>
    <col min="3" max="3" width="7" style="5" bestFit="1" customWidth="1"/>
    <col min="4" max="4" width="2.33203125" style="5" customWidth="1"/>
    <col min="5" max="5" width="6.1640625" style="6" bestFit="1" customWidth="1"/>
    <col min="6" max="7" width="9.6640625" style="6" bestFit="1" customWidth="1"/>
    <col min="8" max="12" width="11.1640625" style="6" bestFit="1" customWidth="1"/>
    <col min="13" max="20" width="12.1640625" style="6" bestFit="1" customWidth="1"/>
    <col min="21" max="34" width="6" style="6" customWidth="1"/>
    <col min="35" max="16384" width="9" style="6"/>
  </cols>
  <sheetData>
    <row r="1" spans="1:20" s="4" customFormat="1" x14ac:dyDescent="0.15">
      <c r="A1" s="2" t="s">
        <v>43</v>
      </c>
      <c r="C1" s="3" t="s">
        <v>42</v>
      </c>
      <c r="D1" s="3"/>
      <c r="E1" s="4" t="s">
        <v>73</v>
      </c>
      <c r="F1" s="4" t="s">
        <v>74</v>
      </c>
      <c r="G1" s="4" t="s">
        <v>75</v>
      </c>
      <c r="H1" s="4" t="s">
        <v>91</v>
      </c>
      <c r="I1" s="4" t="s">
        <v>73</v>
      </c>
      <c r="J1" s="4" t="s">
        <v>74</v>
      </c>
      <c r="K1" s="4" t="s">
        <v>75</v>
      </c>
      <c r="L1" s="4" t="s">
        <v>91</v>
      </c>
      <c r="M1" s="4" t="s">
        <v>73</v>
      </c>
      <c r="N1" s="4" t="s">
        <v>74</v>
      </c>
      <c r="O1" s="4" t="s">
        <v>75</v>
      </c>
      <c r="P1" s="4" t="s">
        <v>91</v>
      </c>
      <c r="Q1" s="4" t="s">
        <v>73</v>
      </c>
      <c r="R1" s="4" t="s">
        <v>74</v>
      </c>
      <c r="S1" s="4" t="s">
        <v>75</v>
      </c>
      <c r="T1" s="4" t="s">
        <v>91</v>
      </c>
    </row>
    <row r="2" spans="1:20" s="4" customFormat="1" x14ac:dyDescent="0.15">
      <c r="E2" s="4" t="s">
        <v>180</v>
      </c>
      <c r="F2" s="4" t="s">
        <v>180</v>
      </c>
      <c r="G2" s="4" t="s">
        <v>180</v>
      </c>
      <c r="H2" s="4" t="s">
        <v>180</v>
      </c>
      <c r="I2" s="4" t="s">
        <v>36</v>
      </c>
      <c r="J2" s="4" t="s">
        <v>36</v>
      </c>
      <c r="K2" s="4" t="s">
        <v>36</v>
      </c>
      <c r="L2" s="4" t="s">
        <v>36</v>
      </c>
      <c r="M2" s="4" t="s">
        <v>37</v>
      </c>
      <c r="N2" s="4" t="s">
        <v>37</v>
      </c>
      <c r="O2" s="4" t="s">
        <v>37</v>
      </c>
      <c r="P2" s="4" t="s">
        <v>37</v>
      </c>
      <c r="Q2" s="4" t="s">
        <v>38</v>
      </c>
      <c r="R2" s="4" t="s">
        <v>38</v>
      </c>
      <c r="S2" s="4" t="s">
        <v>38</v>
      </c>
      <c r="T2" s="4" t="s">
        <v>38</v>
      </c>
    </row>
    <row r="3" spans="1:20" s="4" customFormat="1" x14ac:dyDescent="0.15">
      <c r="A3" s="1" t="s">
        <v>18</v>
      </c>
    </row>
    <row r="4" spans="1:20" s="51" customFormat="1" x14ac:dyDescent="0.15">
      <c r="A4" s="7"/>
      <c r="B4" s="7" t="s">
        <v>30</v>
      </c>
      <c r="C4" s="18" t="s">
        <v>34</v>
      </c>
      <c r="E4" s="52"/>
      <c r="F4" s="52">
        <v>4</v>
      </c>
      <c r="G4" s="52">
        <v>6</v>
      </c>
      <c r="H4" s="52">
        <v>8</v>
      </c>
      <c r="I4" s="52">
        <v>10</v>
      </c>
      <c r="J4" s="52">
        <v>12</v>
      </c>
      <c r="K4" s="52">
        <v>15</v>
      </c>
      <c r="L4" s="52">
        <v>20</v>
      </c>
      <c r="M4" s="52">
        <v>25</v>
      </c>
      <c r="N4" s="52">
        <v>30</v>
      </c>
      <c r="O4" s="52">
        <v>40</v>
      </c>
      <c r="P4" s="52">
        <v>50</v>
      </c>
      <c r="Q4" s="52">
        <v>60</v>
      </c>
      <c r="R4" s="52">
        <v>60</v>
      </c>
      <c r="S4" s="52">
        <v>60</v>
      </c>
      <c r="T4" s="52">
        <v>60</v>
      </c>
    </row>
    <row r="5" spans="1:20" s="51" customFormat="1" x14ac:dyDescent="0.15">
      <c r="B5" s="51" t="s">
        <v>31</v>
      </c>
      <c r="C5" s="18" t="s">
        <v>34</v>
      </c>
      <c r="E5" s="52"/>
      <c r="F5" s="52"/>
      <c r="G5" s="52"/>
      <c r="H5" s="52"/>
      <c r="I5" s="52">
        <v>2</v>
      </c>
      <c r="J5" s="52">
        <v>2</v>
      </c>
      <c r="K5" s="52">
        <v>3</v>
      </c>
      <c r="L5" s="52">
        <v>3</v>
      </c>
      <c r="M5" s="52">
        <v>4</v>
      </c>
      <c r="N5" s="52">
        <v>4</v>
      </c>
      <c r="O5" s="52">
        <v>6</v>
      </c>
      <c r="P5" s="52">
        <v>8</v>
      </c>
      <c r="Q5" s="52">
        <v>12</v>
      </c>
      <c r="R5" s="52">
        <v>16</v>
      </c>
      <c r="S5" s="52">
        <v>20</v>
      </c>
      <c r="T5" s="52">
        <v>25</v>
      </c>
    </row>
    <row r="6" spans="1:20" s="51" customFormat="1" x14ac:dyDescent="0.15">
      <c r="B6" s="51" t="s">
        <v>32</v>
      </c>
      <c r="C6" s="18" t="s">
        <v>34</v>
      </c>
      <c r="E6" s="52"/>
      <c r="F6" s="52"/>
      <c r="G6" s="52"/>
      <c r="H6" s="52"/>
      <c r="I6" s="52"/>
      <c r="J6" s="52"/>
      <c r="K6" s="52"/>
      <c r="L6" s="52"/>
      <c r="M6" s="52">
        <v>1</v>
      </c>
      <c r="N6" s="52">
        <v>2</v>
      </c>
      <c r="O6" s="52">
        <v>5</v>
      </c>
      <c r="P6" s="52">
        <v>5</v>
      </c>
      <c r="Q6" s="52">
        <v>6</v>
      </c>
      <c r="R6" s="52">
        <v>10</v>
      </c>
      <c r="S6" s="52">
        <v>12</v>
      </c>
      <c r="T6" s="52">
        <v>12</v>
      </c>
    </row>
    <row r="7" spans="1:20" s="51" customFormat="1" x14ac:dyDescent="0.15"/>
    <row r="8" spans="1:20" s="4" customFormat="1" x14ac:dyDescent="0.15">
      <c r="A8" s="1" t="s">
        <v>19</v>
      </c>
    </row>
    <row r="9" spans="1:20" s="51" customFormat="1" x14ac:dyDescent="0.15">
      <c r="A9" s="7"/>
      <c r="B9" s="7" t="s">
        <v>30</v>
      </c>
      <c r="C9" s="18" t="s">
        <v>34</v>
      </c>
      <c r="E9" s="52"/>
      <c r="F9" s="52">
        <v>5</v>
      </c>
      <c r="G9" s="52">
        <v>8</v>
      </c>
      <c r="H9" s="52">
        <v>10</v>
      </c>
      <c r="I9" s="52">
        <v>15</v>
      </c>
      <c r="J9" s="52">
        <v>15</v>
      </c>
      <c r="K9" s="52">
        <v>15</v>
      </c>
      <c r="L9" s="52">
        <v>15</v>
      </c>
      <c r="M9" s="52">
        <v>20</v>
      </c>
      <c r="N9" s="52">
        <v>20</v>
      </c>
      <c r="O9" s="52">
        <v>20</v>
      </c>
      <c r="P9" s="52">
        <v>20</v>
      </c>
      <c r="Q9" s="52">
        <v>20</v>
      </c>
      <c r="R9" s="52">
        <v>20</v>
      </c>
      <c r="S9" s="52">
        <v>20</v>
      </c>
      <c r="T9" s="52">
        <v>20</v>
      </c>
    </row>
    <row r="10" spans="1:20" s="51" customFormat="1" x14ac:dyDescent="0.15">
      <c r="B10" s="51" t="s">
        <v>31</v>
      </c>
      <c r="C10" s="18" t="s">
        <v>34</v>
      </c>
      <c r="E10" s="52"/>
      <c r="F10" s="52"/>
      <c r="G10" s="52"/>
      <c r="H10" s="52"/>
      <c r="I10" s="52">
        <v>5</v>
      </c>
      <c r="J10" s="52">
        <v>8</v>
      </c>
      <c r="K10" s="52">
        <v>12</v>
      </c>
      <c r="L10" s="52">
        <v>15</v>
      </c>
      <c r="M10" s="52">
        <v>15</v>
      </c>
      <c r="N10" s="52">
        <v>15</v>
      </c>
      <c r="O10" s="52">
        <v>15</v>
      </c>
      <c r="P10" s="52">
        <v>20</v>
      </c>
      <c r="Q10" s="52">
        <v>20</v>
      </c>
      <c r="R10" s="52">
        <v>20</v>
      </c>
      <c r="S10" s="52">
        <v>20</v>
      </c>
      <c r="T10" s="52">
        <v>20</v>
      </c>
    </row>
    <row r="11" spans="1:20" s="51" customFormat="1" x14ac:dyDescent="0.15">
      <c r="B11" s="51" t="s">
        <v>32</v>
      </c>
      <c r="C11" s="18" t="s">
        <v>34</v>
      </c>
      <c r="E11" s="52"/>
      <c r="F11" s="52"/>
      <c r="G11" s="52"/>
      <c r="H11" s="52"/>
      <c r="I11" s="52"/>
      <c r="J11" s="52"/>
      <c r="K11" s="52"/>
      <c r="L11" s="52"/>
      <c r="M11" s="52">
        <v>2</v>
      </c>
      <c r="N11" s="52">
        <v>3</v>
      </c>
      <c r="O11" s="52">
        <v>4</v>
      </c>
      <c r="P11" s="52">
        <v>8</v>
      </c>
      <c r="Q11" s="52">
        <v>12</v>
      </c>
      <c r="R11" s="52">
        <v>15</v>
      </c>
      <c r="S11" s="52">
        <v>15</v>
      </c>
      <c r="T11" s="52">
        <v>20</v>
      </c>
    </row>
    <row r="12" spans="1:20" s="51" customFormat="1" x14ac:dyDescent="0.15"/>
    <row r="13" spans="1:20" x14ac:dyDescent="0.15">
      <c r="A13" s="1" t="s">
        <v>7</v>
      </c>
    </row>
    <row r="14" spans="1:20" x14ac:dyDescent="0.15">
      <c r="B14" s="7" t="s">
        <v>30</v>
      </c>
      <c r="E14" s="53">
        <f>E4*E9</f>
        <v>0</v>
      </c>
      <c r="F14" s="53">
        <f>F4*F9</f>
        <v>20</v>
      </c>
      <c r="G14" s="53">
        <f t="shared" ref="G14:T14" si="0">G4*G9</f>
        <v>48</v>
      </c>
      <c r="H14" s="53">
        <f t="shared" si="0"/>
        <v>80</v>
      </c>
      <c r="I14" s="53">
        <f t="shared" si="0"/>
        <v>150</v>
      </c>
      <c r="J14" s="53">
        <f t="shared" si="0"/>
        <v>180</v>
      </c>
      <c r="K14" s="53">
        <f t="shared" si="0"/>
        <v>225</v>
      </c>
      <c r="L14" s="53">
        <f t="shared" si="0"/>
        <v>300</v>
      </c>
      <c r="M14" s="53">
        <f t="shared" si="0"/>
        <v>500</v>
      </c>
      <c r="N14" s="53">
        <f t="shared" si="0"/>
        <v>600</v>
      </c>
      <c r="O14" s="53">
        <f t="shared" si="0"/>
        <v>800</v>
      </c>
      <c r="P14" s="53">
        <f t="shared" si="0"/>
        <v>1000</v>
      </c>
      <c r="Q14" s="53">
        <f t="shared" si="0"/>
        <v>1200</v>
      </c>
      <c r="R14" s="53">
        <f t="shared" si="0"/>
        <v>1200</v>
      </c>
      <c r="S14" s="53">
        <f t="shared" si="0"/>
        <v>1200</v>
      </c>
      <c r="T14" s="53">
        <f t="shared" si="0"/>
        <v>1200</v>
      </c>
    </row>
    <row r="15" spans="1:20" x14ac:dyDescent="0.15">
      <c r="B15" s="7" t="s">
        <v>31</v>
      </c>
      <c r="E15" s="53">
        <f>E5*E10</f>
        <v>0</v>
      </c>
      <c r="F15" s="53">
        <f t="shared" ref="F15:T15" si="1">F5*F10</f>
        <v>0</v>
      </c>
      <c r="G15" s="53">
        <f t="shared" si="1"/>
        <v>0</v>
      </c>
      <c r="H15" s="53">
        <f t="shared" si="1"/>
        <v>0</v>
      </c>
      <c r="I15" s="53">
        <f t="shared" si="1"/>
        <v>10</v>
      </c>
      <c r="J15" s="53">
        <f t="shared" si="1"/>
        <v>16</v>
      </c>
      <c r="K15" s="53">
        <f t="shared" si="1"/>
        <v>36</v>
      </c>
      <c r="L15" s="53">
        <f t="shared" si="1"/>
        <v>45</v>
      </c>
      <c r="M15" s="53">
        <f t="shared" si="1"/>
        <v>60</v>
      </c>
      <c r="N15" s="53">
        <f t="shared" si="1"/>
        <v>60</v>
      </c>
      <c r="O15" s="53">
        <f t="shared" si="1"/>
        <v>90</v>
      </c>
      <c r="P15" s="53">
        <f t="shared" si="1"/>
        <v>160</v>
      </c>
      <c r="Q15" s="53">
        <f t="shared" si="1"/>
        <v>240</v>
      </c>
      <c r="R15" s="53">
        <f t="shared" si="1"/>
        <v>320</v>
      </c>
      <c r="S15" s="53">
        <f t="shared" si="1"/>
        <v>400</v>
      </c>
      <c r="T15" s="53">
        <f t="shared" si="1"/>
        <v>500</v>
      </c>
    </row>
    <row r="16" spans="1:20" x14ac:dyDescent="0.15">
      <c r="B16" s="7" t="s">
        <v>32</v>
      </c>
      <c r="E16" s="54">
        <f>E6*E11</f>
        <v>0</v>
      </c>
      <c r="F16" s="54">
        <f>F6*F11</f>
        <v>0</v>
      </c>
      <c r="G16" s="54">
        <f t="shared" ref="G16:T16" si="2">G6*G11</f>
        <v>0</v>
      </c>
      <c r="H16" s="54">
        <f t="shared" si="2"/>
        <v>0</v>
      </c>
      <c r="I16" s="54">
        <f t="shared" si="2"/>
        <v>0</v>
      </c>
      <c r="J16" s="54">
        <f t="shared" si="2"/>
        <v>0</v>
      </c>
      <c r="K16" s="54">
        <f t="shared" si="2"/>
        <v>0</v>
      </c>
      <c r="L16" s="54">
        <f t="shared" si="2"/>
        <v>0</v>
      </c>
      <c r="M16" s="54">
        <f t="shared" si="2"/>
        <v>2</v>
      </c>
      <c r="N16" s="54">
        <f t="shared" si="2"/>
        <v>6</v>
      </c>
      <c r="O16" s="54">
        <f t="shared" si="2"/>
        <v>20</v>
      </c>
      <c r="P16" s="54">
        <f t="shared" si="2"/>
        <v>40</v>
      </c>
      <c r="Q16" s="54">
        <f t="shared" si="2"/>
        <v>72</v>
      </c>
      <c r="R16" s="54">
        <f t="shared" si="2"/>
        <v>150</v>
      </c>
      <c r="S16" s="54">
        <f t="shared" si="2"/>
        <v>180</v>
      </c>
      <c r="T16" s="54">
        <f t="shared" si="2"/>
        <v>240</v>
      </c>
    </row>
    <row r="17" spans="1:20" x14ac:dyDescent="0.15">
      <c r="B17" s="7" t="s">
        <v>8</v>
      </c>
      <c r="E17" s="53">
        <f t="shared" ref="E17:T17" si="3">SUM(E14:E16)</f>
        <v>0</v>
      </c>
      <c r="F17" s="53">
        <f t="shared" si="3"/>
        <v>20</v>
      </c>
      <c r="G17" s="53">
        <f t="shared" si="3"/>
        <v>48</v>
      </c>
      <c r="H17" s="53">
        <f t="shared" si="3"/>
        <v>80</v>
      </c>
      <c r="I17" s="53">
        <f t="shared" si="3"/>
        <v>160</v>
      </c>
      <c r="J17" s="53">
        <f t="shared" si="3"/>
        <v>196</v>
      </c>
      <c r="K17" s="53">
        <f t="shared" si="3"/>
        <v>261</v>
      </c>
      <c r="L17" s="53">
        <f t="shared" si="3"/>
        <v>345</v>
      </c>
      <c r="M17" s="53">
        <f t="shared" si="3"/>
        <v>562</v>
      </c>
      <c r="N17" s="53">
        <f t="shared" si="3"/>
        <v>666</v>
      </c>
      <c r="O17" s="53">
        <f t="shared" si="3"/>
        <v>910</v>
      </c>
      <c r="P17" s="53">
        <f t="shared" si="3"/>
        <v>1200</v>
      </c>
      <c r="Q17" s="53">
        <f t="shared" si="3"/>
        <v>1512</v>
      </c>
      <c r="R17" s="53">
        <f t="shared" si="3"/>
        <v>1670</v>
      </c>
      <c r="S17" s="53">
        <f t="shared" si="3"/>
        <v>1780</v>
      </c>
      <c r="T17" s="53">
        <f t="shared" si="3"/>
        <v>1940</v>
      </c>
    </row>
    <row r="18" spans="1:20" x14ac:dyDescent="0.15"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x14ac:dyDescent="0.15">
      <c r="A19" s="1" t="s">
        <v>20</v>
      </c>
    </row>
    <row r="20" spans="1:20" s="10" customFormat="1" x14ac:dyDescent="0.15">
      <c r="A20" s="1"/>
      <c r="B20" s="7" t="s">
        <v>30</v>
      </c>
      <c r="C20" s="18" t="s">
        <v>34</v>
      </c>
      <c r="D20" s="18"/>
      <c r="E20" s="8"/>
      <c r="F20" s="8">
        <v>10000</v>
      </c>
      <c r="G20" s="8">
        <v>10000</v>
      </c>
      <c r="H20" s="8">
        <v>10000</v>
      </c>
      <c r="I20" s="8">
        <v>7500</v>
      </c>
      <c r="J20" s="8">
        <v>7500</v>
      </c>
      <c r="K20" s="8">
        <v>7500</v>
      </c>
      <c r="L20" s="8">
        <v>7500</v>
      </c>
      <c r="M20" s="8">
        <v>6000</v>
      </c>
      <c r="N20" s="8">
        <v>6000</v>
      </c>
      <c r="O20" s="8">
        <v>6000</v>
      </c>
      <c r="P20" s="8">
        <v>6000</v>
      </c>
      <c r="Q20" s="8">
        <v>5000</v>
      </c>
      <c r="R20" s="8">
        <v>5000</v>
      </c>
      <c r="S20" s="8">
        <v>5000</v>
      </c>
      <c r="T20" s="8">
        <v>5000</v>
      </c>
    </row>
    <row r="21" spans="1:20" s="10" customFormat="1" x14ac:dyDescent="0.15">
      <c r="A21" s="1"/>
      <c r="B21" s="7" t="s">
        <v>31</v>
      </c>
      <c r="C21" s="18" t="s">
        <v>34</v>
      </c>
      <c r="D21" s="18"/>
      <c r="E21" s="8"/>
      <c r="F21" s="8"/>
      <c r="G21" s="8"/>
      <c r="H21" s="8"/>
      <c r="I21" s="8">
        <v>12000</v>
      </c>
      <c r="J21" s="8">
        <v>12000</v>
      </c>
      <c r="K21" s="8">
        <v>12000</v>
      </c>
      <c r="L21" s="8">
        <v>12000</v>
      </c>
      <c r="M21" s="8">
        <v>10000</v>
      </c>
      <c r="N21" s="8">
        <v>10000</v>
      </c>
      <c r="O21" s="8">
        <v>10000</v>
      </c>
      <c r="P21" s="8">
        <v>10000</v>
      </c>
      <c r="Q21" s="8">
        <v>8000</v>
      </c>
      <c r="R21" s="8">
        <v>8000</v>
      </c>
      <c r="S21" s="8">
        <v>8000</v>
      </c>
      <c r="T21" s="8">
        <v>8000</v>
      </c>
    </row>
    <row r="22" spans="1:20" s="10" customFormat="1" x14ac:dyDescent="0.15">
      <c r="A22" s="1"/>
      <c r="B22" s="7" t="s">
        <v>32</v>
      </c>
      <c r="C22" s="18" t="s">
        <v>34</v>
      </c>
      <c r="D22" s="18"/>
      <c r="E22" s="8"/>
      <c r="F22" s="8"/>
      <c r="G22" s="8"/>
      <c r="H22" s="8"/>
      <c r="I22" s="8"/>
      <c r="J22" s="8"/>
      <c r="K22" s="8"/>
      <c r="L22" s="8"/>
      <c r="M22" s="8">
        <v>16000</v>
      </c>
      <c r="N22" s="8">
        <v>16000</v>
      </c>
      <c r="O22" s="8">
        <v>16000</v>
      </c>
      <c r="P22" s="8">
        <v>16000</v>
      </c>
      <c r="Q22" s="8">
        <v>16000</v>
      </c>
      <c r="R22" s="8">
        <v>16000</v>
      </c>
      <c r="S22" s="8">
        <v>16000</v>
      </c>
      <c r="T22" s="8">
        <v>16000</v>
      </c>
    </row>
    <row r="23" spans="1:20" x14ac:dyDescent="0.15"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x14ac:dyDescent="0.15">
      <c r="A24" s="1" t="s">
        <v>21</v>
      </c>
      <c r="C24" s="3"/>
    </row>
    <row r="25" spans="1:20" s="10" customFormat="1" x14ac:dyDescent="0.15">
      <c r="A25" s="1"/>
      <c r="B25" s="7" t="s">
        <v>30</v>
      </c>
      <c r="C25" s="8"/>
      <c r="D25" s="8"/>
      <c r="E25" s="9">
        <f>E14*E20</f>
        <v>0</v>
      </c>
      <c r="F25" s="9">
        <f t="shared" ref="F25:T25" si="4">F14*F20</f>
        <v>200000</v>
      </c>
      <c r="G25" s="9">
        <f t="shared" si="4"/>
        <v>480000</v>
      </c>
      <c r="H25" s="9">
        <f t="shared" si="4"/>
        <v>800000</v>
      </c>
      <c r="I25" s="9">
        <f t="shared" si="4"/>
        <v>1125000</v>
      </c>
      <c r="J25" s="9">
        <f t="shared" si="4"/>
        <v>1350000</v>
      </c>
      <c r="K25" s="9">
        <f t="shared" si="4"/>
        <v>1687500</v>
      </c>
      <c r="L25" s="9">
        <f t="shared" si="4"/>
        <v>2250000</v>
      </c>
      <c r="M25" s="9">
        <f t="shared" si="4"/>
        <v>3000000</v>
      </c>
      <c r="N25" s="9">
        <f t="shared" si="4"/>
        <v>3600000</v>
      </c>
      <c r="O25" s="9">
        <f t="shared" si="4"/>
        <v>4800000</v>
      </c>
      <c r="P25" s="9">
        <f t="shared" si="4"/>
        <v>6000000</v>
      </c>
      <c r="Q25" s="9">
        <f t="shared" si="4"/>
        <v>6000000</v>
      </c>
      <c r="R25" s="9">
        <f t="shared" si="4"/>
        <v>6000000</v>
      </c>
      <c r="S25" s="9">
        <f t="shared" si="4"/>
        <v>6000000</v>
      </c>
      <c r="T25" s="9">
        <f t="shared" si="4"/>
        <v>6000000</v>
      </c>
    </row>
    <row r="26" spans="1:20" s="10" customFormat="1" x14ac:dyDescent="0.15">
      <c r="A26" s="1"/>
      <c r="B26" s="7" t="s">
        <v>31</v>
      </c>
      <c r="C26" s="8"/>
      <c r="D26" s="8"/>
      <c r="E26" s="9">
        <f t="shared" ref="E26:T26" si="5">E15*E21</f>
        <v>0</v>
      </c>
      <c r="F26" s="9">
        <f t="shared" si="5"/>
        <v>0</v>
      </c>
      <c r="G26" s="9">
        <f t="shared" si="5"/>
        <v>0</v>
      </c>
      <c r="H26" s="9">
        <f t="shared" si="5"/>
        <v>0</v>
      </c>
      <c r="I26" s="9">
        <f t="shared" si="5"/>
        <v>120000</v>
      </c>
      <c r="J26" s="9">
        <f t="shared" si="5"/>
        <v>192000</v>
      </c>
      <c r="K26" s="9">
        <f t="shared" si="5"/>
        <v>432000</v>
      </c>
      <c r="L26" s="9">
        <f t="shared" si="5"/>
        <v>540000</v>
      </c>
      <c r="M26" s="9">
        <f t="shared" si="5"/>
        <v>600000</v>
      </c>
      <c r="N26" s="9">
        <f t="shared" si="5"/>
        <v>600000</v>
      </c>
      <c r="O26" s="9">
        <f t="shared" si="5"/>
        <v>900000</v>
      </c>
      <c r="P26" s="9">
        <f t="shared" si="5"/>
        <v>1600000</v>
      </c>
      <c r="Q26" s="9">
        <f t="shared" si="5"/>
        <v>1920000</v>
      </c>
      <c r="R26" s="9">
        <f t="shared" si="5"/>
        <v>2560000</v>
      </c>
      <c r="S26" s="9">
        <f t="shared" si="5"/>
        <v>3200000</v>
      </c>
      <c r="T26" s="9">
        <f t="shared" si="5"/>
        <v>4000000</v>
      </c>
    </row>
    <row r="27" spans="1:20" s="10" customFormat="1" x14ac:dyDescent="0.15">
      <c r="A27" s="1"/>
      <c r="B27" s="7" t="s">
        <v>32</v>
      </c>
      <c r="C27" s="8"/>
      <c r="D27" s="8"/>
      <c r="E27" s="9">
        <f t="shared" ref="E27:T27" si="6">E16*E22</f>
        <v>0</v>
      </c>
      <c r="F27" s="9">
        <f t="shared" si="6"/>
        <v>0</v>
      </c>
      <c r="G27" s="9">
        <f t="shared" si="6"/>
        <v>0</v>
      </c>
      <c r="H27" s="9">
        <f t="shared" si="6"/>
        <v>0</v>
      </c>
      <c r="I27" s="9">
        <f t="shared" si="6"/>
        <v>0</v>
      </c>
      <c r="J27" s="9">
        <f t="shared" si="6"/>
        <v>0</v>
      </c>
      <c r="K27" s="9">
        <f t="shared" si="6"/>
        <v>0</v>
      </c>
      <c r="L27" s="9">
        <f t="shared" si="6"/>
        <v>0</v>
      </c>
      <c r="M27" s="9">
        <f t="shared" si="6"/>
        <v>32000</v>
      </c>
      <c r="N27" s="9">
        <f t="shared" si="6"/>
        <v>96000</v>
      </c>
      <c r="O27" s="9">
        <f t="shared" si="6"/>
        <v>320000</v>
      </c>
      <c r="P27" s="9">
        <f t="shared" si="6"/>
        <v>640000</v>
      </c>
      <c r="Q27" s="9">
        <f t="shared" si="6"/>
        <v>1152000</v>
      </c>
      <c r="R27" s="9">
        <f t="shared" si="6"/>
        <v>2400000</v>
      </c>
      <c r="S27" s="9">
        <f t="shared" si="6"/>
        <v>2880000</v>
      </c>
      <c r="T27" s="9">
        <f t="shared" si="6"/>
        <v>3840000</v>
      </c>
    </row>
    <row r="28" spans="1:20" s="12" customFormat="1" x14ac:dyDescent="0.15">
      <c r="A28" s="1"/>
      <c r="B28" s="4" t="s">
        <v>22</v>
      </c>
      <c r="C28" s="5"/>
      <c r="D28" s="5"/>
      <c r="E28" s="11">
        <f>SUM(E25:E27)</f>
        <v>0</v>
      </c>
      <c r="F28" s="11">
        <f t="shared" ref="F28:T28" si="7">SUM(F25:F27)</f>
        <v>200000</v>
      </c>
      <c r="G28" s="11">
        <f t="shared" si="7"/>
        <v>480000</v>
      </c>
      <c r="H28" s="11">
        <f t="shared" si="7"/>
        <v>800000</v>
      </c>
      <c r="I28" s="11">
        <f t="shared" si="7"/>
        <v>1245000</v>
      </c>
      <c r="J28" s="11">
        <f t="shared" si="7"/>
        <v>1542000</v>
      </c>
      <c r="K28" s="11">
        <f t="shared" si="7"/>
        <v>2119500</v>
      </c>
      <c r="L28" s="11">
        <f t="shared" si="7"/>
        <v>2790000</v>
      </c>
      <c r="M28" s="11">
        <f t="shared" si="7"/>
        <v>3632000</v>
      </c>
      <c r="N28" s="11">
        <f t="shared" si="7"/>
        <v>4296000</v>
      </c>
      <c r="O28" s="11">
        <f t="shared" si="7"/>
        <v>6020000</v>
      </c>
      <c r="P28" s="11">
        <f t="shared" si="7"/>
        <v>8240000</v>
      </c>
      <c r="Q28" s="11">
        <f t="shared" si="7"/>
        <v>9072000</v>
      </c>
      <c r="R28" s="11">
        <f t="shared" si="7"/>
        <v>10960000</v>
      </c>
      <c r="S28" s="11">
        <f t="shared" si="7"/>
        <v>12080000</v>
      </c>
      <c r="T28" s="11">
        <f t="shared" si="7"/>
        <v>13840000</v>
      </c>
    </row>
    <row r="29" spans="1:20" s="12" customFormat="1" x14ac:dyDescent="0.15">
      <c r="A29" s="1"/>
      <c r="B29" s="4"/>
      <c r="C29" s="5"/>
      <c r="D29" s="5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x14ac:dyDescent="0.15">
      <c r="A30" s="1" t="s">
        <v>23</v>
      </c>
    </row>
    <row r="31" spans="1:20" x14ac:dyDescent="0.15">
      <c r="B31" s="7" t="s">
        <v>24</v>
      </c>
      <c r="E31" s="17">
        <f>E28</f>
        <v>0</v>
      </c>
      <c r="F31" s="17">
        <f t="shared" ref="F31:T31" si="8">E31+F28</f>
        <v>200000</v>
      </c>
      <c r="G31" s="17">
        <f t="shared" si="8"/>
        <v>680000</v>
      </c>
      <c r="H31" s="17">
        <f t="shared" si="8"/>
        <v>1480000</v>
      </c>
      <c r="I31" s="17">
        <f t="shared" si="8"/>
        <v>2725000</v>
      </c>
      <c r="J31" s="17">
        <f t="shared" si="8"/>
        <v>4267000</v>
      </c>
      <c r="K31" s="17">
        <f t="shared" si="8"/>
        <v>6386500</v>
      </c>
      <c r="L31" s="17">
        <f t="shared" si="8"/>
        <v>9176500</v>
      </c>
      <c r="M31" s="17">
        <f t="shared" si="8"/>
        <v>12808500</v>
      </c>
      <c r="N31" s="17">
        <f t="shared" si="8"/>
        <v>17104500</v>
      </c>
      <c r="O31" s="17">
        <f t="shared" si="8"/>
        <v>23124500</v>
      </c>
      <c r="P31" s="17">
        <f t="shared" si="8"/>
        <v>31364500</v>
      </c>
      <c r="Q31" s="17">
        <f t="shared" si="8"/>
        <v>40436500</v>
      </c>
      <c r="R31" s="17">
        <f t="shared" si="8"/>
        <v>51396500</v>
      </c>
      <c r="S31" s="17">
        <f t="shared" si="8"/>
        <v>63476500</v>
      </c>
      <c r="T31" s="17">
        <f t="shared" si="8"/>
        <v>77316500</v>
      </c>
    </row>
    <row r="32" spans="1:20" s="10" customFormat="1" x14ac:dyDescent="0.15">
      <c r="A32" s="1"/>
      <c r="B32" s="7" t="s">
        <v>25</v>
      </c>
      <c r="C32" s="55">
        <v>0.8</v>
      </c>
      <c r="D32" s="56"/>
      <c r="E32" s="57">
        <f>E28</f>
        <v>0</v>
      </c>
      <c r="F32" s="57">
        <f>E32*(1-(1-$C32)/4)+F28</f>
        <v>200000</v>
      </c>
      <c r="G32" s="57">
        <f t="shared" ref="G32:T32" si="9">F32*(1-(1-$C32)/4)+G28</f>
        <v>670000</v>
      </c>
      <c r="H32" s="57">
        <f t="shared" si="9"/>
        <v>1436500</v>
      </c>
      <c r="I32" s="57">
        <f t="shared" si="9"/>
        <v>2609675</v>
      </c>
      <c r="J32" s="57">
        <f t="shared" si="9"/>
        <v>4021191.25</v>
      </c>
      <c r="K32" s="57">
        <f t="shared" si="9"/>
        <v>5939631.6875</v>
      </c>
      <c r="L32" s="57">
        <f t="shared" si="9"/>
        <v>8432650.1031249985</v>
      </c>
      <c r="M32" s="57">
        <f t="shared" si="9"/>
        <v>11643017.597968748</v>
      </c>
      <c r="N32" s="57">
        <f t="shared" si="9"/>
        <v>15356866.71807031</v>
      </c>
      <c r="O32" s="57">
        <f t="shared" si="9"/>
        <v>20609023.382166795</v>
      </c>
      <c r="P32" s="57">
        <f t="shared" si="9"/>
        <v>27818572.213058453</v>
      </c>
      <c r="Q32" s="57">
        <f t="shared" si="9"/>
        <v>35499643.602405533</v>
      </c>
      <c r="R32" s="57">
        <f t="shared" si="9"/>
        <v>44684661.422285251</v>
      </c>
      <c r="S32" s="57">
        <f t="shared" si="9"/>
        <v>54530428.351170987</v>
      </c>
      <c r="T32" s="57">
        <f t="shared" si="9"/>
        <v>65643906.933612436</v>
      </c>
    </row>
    <row r="33" spans="1:20" s="12" customFormat="1" x14ac:dyDescent="0.15">
      <c r="A33" s="1"/>
      <c r="B33" s="7" t="s">
        <v>26</v>
      </c>
      <c r="C33" s="55">
        <v>0.18</v>
      </c>
      <c r="D33" s="56"/>
      <c r="E33" s="125">
        <f>E32*($C33/4)</f>
        <v>0</v>
      </c>
      <c r="F33" s="125">
        <f>F32*($C33/4)</f>
        <v>9000</v>
      </c>
      <c r="G33" s="125">
        <f>G32*($C33/4)</f>
        <v>30150</v>
      </c>
      <c r="H33" s="125">
        <f>H32*($C33/4)</f>
        <v>64642.5</v>
      </c>
      <c r="I33" s="125">
        <f t="shared" ref="I33:T33" si="10">I32*($C33/4)</f>
        <v>117435.375</v>
      </c>
      <c r="J33" s="125">
        <f t="shared" si="10"/>
        <v>180953.60624999998</v>
      </c>
      <c r="K33" s="125">
        <f t="shared" si="10"/>
        <v>267283.42593749997</v>
      </c>
      <c r="L33" s="125">
        <f t="shared" si="10"/>
        <v>379469.25464062492</v>
      </c>
      <c r="M33" s="125">
        <f t="shared" si="10"/>
        <v>523935.79190859362</v>
      </c>
      <c r="N33" s="125">
        <f t="shared" si="10"/>
        <v>691059.00231316395</v>
      </c>
      <c r="O33" s="125">
        <f t="shared" si="10"/>
        <v>927406.05219750572</v>
      </c>
      <c r="P33" s="125">
        <f t="shared" si="10"/>
        <v>1251835.7495876304</v>
      </c>
      <c r="Q33" s="125">
        <f t="shared" si="10"/>
        <v>1597483.9621082488</v>
      </c>
      <c r="R33" s="125">
        <f t="shared" si="10"/>
        <v>2010809.7640028363</v>
      </c>
      <c r="S33" s="125">
        <f t="shared" si="10"/>
        <v>2453869.2758026943</v>
      </c>
      <c r="T33" s="125">
        <f t="shared" si="10"/>
        <v>2953975.8120125597</v>
      </c>
    </row>
    <row r="35" spans="1:20" x14ac:dyDescent="0.15">
      <c r="A35" s="1" t="s">
        <v>27</v>
      </c>
    </row>
    <row r="36" spans="1:20" x14ac:dyDescent="0.15">
      <c r="B36" s="7" t="s">
        <v>28</v>
      </c>
      <c r="E36" s="17">
        <f>E28</f>
        <v>0</v>
      </c>
      <c r="F36" s="17">
        <f t="shared" ref="F36:T36" si="11">F28</f>
        <v>200000</v>
      </c>
      <c r="G36" s="17">
        <f t="shared" si="11"/>
        <v>480000</v>
      </c>
      <c r="H36" s="17">
        <f t="shared" si="11"/>
        <v>800000</v>
      </c>
      <c r="I36" s="17">
        <f t="shared" si="11"/>
        <v>1245000</v>
      </c>
      <c r="J36" s="17">
        <f t="shared" si="11"/>
        <v>1542000</v>
      </c>
      <c r="K36" s="17">
        <f t="shared" si="11"/>
        <v>2119500</v>
      </c>
      <c r="L36" s="17">
        <f t="shared" si="11"/>
        <v>2790000</v>
      </c>
      <c r="M36" s="17">
        <f t="shared" si="11"/>
        <v>3632000</v>
      </c>
      <c r="N36" s="17">
        <f t="shared" si="11"/>
        <v>4296000</v>
      </c>
      <c r="O36" s="17">
        <f t="shared" si="11"/>
        <v>6020000</v>
      </c>
      <c r="P36" s="17">
        <f t="shared" si="11"/>
        <v>8240000</v>
      </c>
      <c r="Q36" s="17">
        <f t="shared" si="11"/>
        <v>9072000</v>
      </c>
      <c r="R36" s="17">
        <f t="shared" si="11"/>
        <v>10960000</v>
      </c>
      <c r="S36" s="17">
        <f t="shared" si="11"/>
        <v>12080000</v>
      </c>
      <c r="T36" s="17">
        <f t="shared" si="11"/>
        <v>13840000</v>
      </c>
    </row>
    <row r="37" spans="1:20" x14ac:dyDescent="0.15">
      <c r="B37" s="7" t="s">
        <v>26</v>
      </c>
      <c r="E37" s="17">
        <f>E33</f>
        <v>0</v>
      </c>
      <c r="F37" s="17">
        <f t="shared" ref="F37:T37" si="12">F33</f>
        <v>9000</v>
      </c>
      <c r="G37" s="17">
        <f t="shared" si="12"/>
        <v>30150</v>
      </c>
      <c r="H37" s="17">
        <f t="shared" si="12"/>
        <v>64642.5</v>
      </c>
      <c r="I37" s="17">
        <f t="shared" si="12"/>
        <v>117435.375</v>
      </c>
      <c r="J37" s="17">
        <f t="shared" si="12"/>
        <v>180953.60624999998</v>
      </c>
      <c r="K37" s="17">
        <f t="shared" si="12"/>
        <v>267283.42593749997</v>
      </c>
      <c r="L37" s="17">
        <f t="shared" si="12"/>
        <v>379469.25464062492</v>
      </c>
      <c r="M37" s="17">
        <f t="shared" si="12"/>
        <v>523935.79190859362</v>
      </c>
      <c r="N37" s="17">
        <f t="shared" si="12"/>
        <v>691059.00231316395</v>
      </c>
      <c r="O37" s="17">
        <f t="shared" si="12"/>
        <v>927406.05219750572</v>
      </c>
      <c r="P37" s="17">
        <f t="shared" si="12"/>
        <v>1251835.7495876304</v>
      </c>
      <c r="Q37" s="17">
        <f t="shared" si="12"/>
        <v>1597483.9621082488</v>
      </c>
      <c r="R37" s="17">
        <f t="shared" si="12"/>
        <v>2010809.7640028363</v>
      </c>
      <c r="S37" s="17">
        <f t="shared" si="12"/>
        <v>2453869.2758026943</v>
      </c>
      <c r="T37" s="17">
        <f t="shared" si="12"/>
        <v>2953975.8120125597</v>
      </c>
    </row>
    <row r="38" spans="1:20" x14ac:dyDescent="0.15">
      <c r="B38" s="7" t="s">
        <v>29</v>
      </c>
      <c r="E38" s="58">
        <f>SUM(E36:E37)</f>
        <v>0</v>
      </c>
      <c r="F38" s="58">
        <f t="shared" ref="F38:T38" si="13">SUM(F36:F37)</f>
        <v>209000</v>
      </c>
      <c r="G38" s="58">
        <f t="shared" si="13"/>
        <v>510150</v>
      </c>
      <c r="H38" s="58">
        <f t="shared" si="13"/>
        <v>864642.5</v>
      </c>
      <c r="I38" s="58">
        <f t="shared" si="13"/>
        <v>1362435.375</v>
      </c>
      <c r="J38" s="58">
        <f t="shared" si="13"/>
        <v>1722953.60625</v>
      </c>
      <c r="K38" s="58">
        <f t="shared" si="13"/>
        <v>2386783.4259374999</v>
      </c>
      <c r="L38" s="58">
        <f t="shared" si="13"/>
        <v>3169469.2546406249</v>
      </c>
      <c r="M38" s="58">
        <f t="shared" si="13"/>
        <v>4155935.7919085938</v>
      </c>
      <c r="N38" s="58">
        <f t="shared" si="13"/>
        <v>4987059.0023131641</v>
      </c>
      <c r="O38" s="58">
        <f t="shared" si="13"/>
        <v>6947406.0521975057</v>
      </c>
      <c r="P38" s="58">
        <f t="shared" si="13"/>
        <v>9491835.7495876309</v>
      </c>
      <c r="Q38" s="58">
        <f t="shared" si="13"/>
        <v>10669483.962108249</v>
      </c>
      <c r="R38" s="58">
        <f t="shared" si="13"/>
        <v>12970809.764002837</v>
      </c>
      <c r="S38" s="58">
        <f t="shared" si="13"/>
        <v>14533869.275802694</v>
      </c>
      <c r="T38" s="58">
        <f t="shared" si="13"/>
        <v>16793975.812012561</v>
      </c>
    </row>
  </sheetData>
  <phoneticPr fontId="0" type="noConversion"/>
  <printOptions gridLines="1" gridLinesSet="0"/>
  <pageMargins left="0.25" right="0.25" top="0.89" bottom="1.1599999999999999" header="0.5" footer="0.5"/>
  <pageSetup orientation="landscape" horizontalDpi="300" verticalDpi="300"/>
  <headerFooter alignWithMargins="0">
    <oddFooter>&amp;L&amp;A&amp;CPage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76"/>
  <sheetViews>
    <sheetView zoomScale="150" workbookViewId="0">
      <pane xSplit="4" ySplit="2" topLeftCell="E15" activePane="bottomRight" state="frozen"/>
      <selection pane="topRight" activeCell="E1" sqref="E1"/>
      <selection pane="bottomLeft" activeCell="A3" sqref="A3"/>
      <selection pane="bottomRight"/>
    </sheetView>
  </sheetViews>
  <sheetFormatPr baseColWidth="10" defaultColWidth="9" defaultRowHeight="13" x14ac:dyDescent="0.15"/>
  <cols>
    <col min="1" max="1" width="4.6640625" style="1" customWidth="1"/>
    <col min="2" max="2" width="4.6640625" style="7" customWidth="1"/>
    <col min="3" max="3" width="19.33203125" style="7" bestFit="1" customWidth="1"/>
    <col min="4" max="4" width="9.6640625" style="5" bestFit="1" customWidth="1"/>
    <col min="5" max="7" width="9.33203125" style="6" bestFit="1" customWidth="1"/>
    <col min="8" max="11" width="9.6640625" style="6" bestFit="1" customWidth="1"/>
    <col min="12" max="20" width="10.83203125" style="6" bestFit="1" customWidth="1"/>
    <col min="21" max="21" width="6" style="6" customWidth="1"/>
    <col min="22" max="22" width="12.1640625" style="6" bestFit="1" customWidth="1"/>
    <col min="23" max="23" width="8.6640625" style="6" bestFit="1" customWidth="1"/>
    <col min="24" max="27" width="10.1640625" style="6" bestFit="1" customWidth="1"/>
    <col min="28" max="39" width="11.33203125" style="6" bestFit="1" customWidth="1"/>
    <col min="40" max="16384" width="9" style="6"/>
  </cols>
  <sheetData>
    <row r="1" spans="1:20" s="4" customFormat="1" x14ac:dyDescent="0.15">
      <c r="A1" s="1" t="s">
        <v>35</v>
      </c>
      <c r="D1" s="4" t="s">
        <v>131</v>
      </c>
      <c r="E1" s="4" t="s">
        <v>73</v>
      </c>
      <c r="F1" s="4" t="s">
        <v>74</v>
      </c>
      <c r="G1" s="4" t="s">
        <v>75</v>
      </c>
      <c r="H1" s="4" t="s">
        <v>91</v>
      </c>
      <c r="I1" s="4" t="s">
        <v>73</v>
      </c>
      <c r="J1" s="4" t="s">
        <v>74</v>
      </c>
      <c r="K1" s="4" t="s">
        <v>75</v>
      </c>
      <c r="L1" s="4" t="s">
        <v>91</v>
      </c>
      <c r="M1" s="4" t="s">
        <v>73</v>
      </c>
      <c r="N1" s="4" t="s">
        <v>74</v>
      </c>
      <c r="O1" s="4" t="s">
        <v>75</v>
      </c>
      <c r="P1" s="4" t="s">
        <v>91</v>
      </c>
      <c r="Q1" s="4" t="s">
        <v>73</v>
      </c>
      <c r="R1" s="4" t="s">
        <v>74</v>
      </c>
      <c r="S1" s="4" t="s">
        <v>75</v>
      </c>
      <c r="T1" s="4" t="s">
        <v>91</v>
      </c>
    </row>
    <row r="2" spans="1:20" s="4" customFormat="1" x14ac:dyDescent="0.15">
      <c r="E2" s="4" t="s">
        <v>180</v>
      </c>
      <c r="F2" s="4" t="s">
        <v>180</v>
      </c>
      <c r="G2" s="4" t="s">
        <v>180</v>
      </c>
      <c r="H2" s="4" t="s">
        <v>180</v>
      </c>
      <c r="I2" s="4" t="s">
        <v>36</v>
      </c>
      <c r="J2" s="4" t="s">
        <v>36</v>
      </c>
      <c r="K2" s="4" t="s">
        <v>36</v>
      </c>
      <c r="L2" s="4" t="s">
        <v>36</v>
      </c>
      <c r="M2" s="4" t="s">
        <v>37</v>
      </c>
      <c r="N2" s="4" t="s">
        <v>37</v>
      </c>
      <c r="O2" s="4" t="s">
        <v>37</v>
      </c>
      <c r="P2" s="4" t="s">
        <v>37</v>
      </c>
      <c r="Q2" s="4" t="s">
        <v>38</v>
      </c>
      <c r="R2" s="4" t="s">
        <v>38</v>
      </c>
      <c r="S2" s="4" t="s">
        <v>38</v>
      </c>
      <c r="T2" s="4" t="s">
        <v>38</v>
      </c>
    </row>
    <row r="3" spans="1:20" x14ac:dyDescent="0.15">
      <c r="B3" s="1" t="s">
        <v>132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6" customFormat="1" x14ac:dyDescent="0.15">
      <c r="A4" s="1"/>
      <c r="B4" s="1"/>
      <c r="C4" s="7" t="s">
        <v>133</v>
      </c>
      <c r="D4" s="15" t="s">
        <v>43</v>
      </c>
      <c r="E4" s="59">
        <f>'Sales Plan'!E14</f>
        <v>0</v>
      </c>
      <c r="F4" s="59">
        <f>'Sales Plan'!F14</f>
        <v>20</v>
      </c>
      <c r="G4" s="59">
        <f>'Sales Plan'!G14</f>
        <v>48</v>
      </c>
      <c r="H4" s="59">
        <f>'Sales Plan'!H14</f>
        <v>80</v>
      </c>
      <c r="I4" s="59">
        <f>'Sales Plan'!I14</f>
        <v>150</v>
      </c>
      <c r="J4" s="59">
        <f>'Sales Plan'!J14</f>
        <v>180</v>
      </c>
      <c r="K4" s="59">
        <f>'Sales Plan'!K14</f>
        <v>225</v>
      </c>
      <c r="L4" s="59">
        <f>'Sales Plan'!L14</f>
        <v>300</v>
      </c>
      <c r="M4" s="59">
        <f>'Sales Plan'!M14</f>
        <v>500</v>
      </c>
      <c r="N4" s="59">
        <f>'Sales Plan'!N14</f>
        <v>600</v>
      </c>
      <c r="O4" s="59">
        <f>'Sales Plan'!O14</f>
        <v>800</v>
      </c>
      <c r="P4" s="59">
        <f>'Sales Plan'!P14</f>
        <v>1000</v>
      </c>
      <c r="Q4" s="59">
        <f>'Sales Plan'!Q14</f>
        <v>1200</v>
      </c>
      <c r="R4" s="59">
        <f>'Sales Plan'!R14</f>
        <v>1200</v>
      </c>
      <c r="S4" s="59">
        <f>'Sales Plan'!S14</f>
        <v>1200</v>
      </c>
      <c r="T4" s="59">
        <f>'Sales Plan'!T14</f>
        <v>1200</v>
      </c>
    </row>
    <row r="5" spans="1:20" s="16" customFormat="1" x14ac:dyDescent="0.15">
      <c r="A5" s="1"/>
      <c r="B5" s="7"/>
      <c r="C5" s="7" t="s">
        <v>134</v>
      </c>
      <c r="D5" s="15" t="s">
        <v>43</v>
      </c>
      <c r="E5" s="59">
        <f>'Sales Plan'!E15</f>
        <v>0</v>
      </c>
      <c r="F5" s="59">
        <f>'Sales Plan'!F15</f>
        <v>0</v>
      </c>
      <c r="G5" s="59">
        <f>'Sales Plan'!G15</f>
        <v>0</v>
      </c>
      <c r="H5" s="59">
        <f>'Sales Plan'!H15</f>
        <v>0</v>
      </c>
      <c r="I5" s="59">
        <f>'Sales Plan'!I15</f>
        <v>10</v>
      </c>
      <c r="J5" s="59">
        <f>'Sales Plan'!J15</f>
        <v>16</v>
      </c>
      <c r="K5" s="59">
        <f>'Sales Plan'!K15</f>
        <v>36</v>
      </c>
      <c r="L5" s="59">
        <f>'Sales Plan'!L15</f>
        <v>45</v>
      </c>
      <c r="M5" s="59">
        <f>'Sales Plan'!M15</f>
        <v>60</v>
      </c>
      <c r="N5" s="59">
        <f>'Sales Plan'!N15</f>
        <v>60</v>
      </c>
      <c r="O5" s="59">
        <f>'Sales Plan'!O15</f>
        <v>90</v>
      </c>
      <c r="P5" s="59">
        <f>'Sales Plan'!P15</f>
        <v>160</v>
      </c>
      <c r="Q5" s="59">
        <f>'Sales Plan'!Q15</f>
        <v>240</v>
      </c>
      <c r="R5" s="59">
        <f>'Sales Plan'!R15</f>
        <v>320</v>
      </c>
      <c r="S5" s="59">
        <f>'Sales Plan'!S15</f>
        <v>400</v>
      </c>
      <c r="T5" s="59">
        <f>'Sales Plan'!T15</f>
        <v>500</v>
      </c>
    </row>
    <row r="6" spans="1:20" s="16" customFormat="1" x14ac:dyDescent="0.15">
      <c r="A6" s="1"/>
      <c r="B6" s="7"/>
      <c r="C6" s="7" t="s">
        <v>135</v>
      </c>
      <c r="D6" s="15" t="s">
        <v>43</v>
      </c>
      <c r="E6" s="59">
        <f>'Sales Plan'!E16</f>
        <v>0</v>
      </c>
      <c r="F6" s="59">
        <f>'Sales Plan'!F16</f>
        <v>0</v>
      </c>
      <c r="G6" s="59">
        <f>'Sales Plan'!G16</f>
        <v>0</v>
      </c>
      <c r="H6" s="59">
        <f>'Sales Plan'!H16</f>
        <v>0</v>
      </c>
      <c r="I6" s="59">
        <f>'Sales Plan'!I16</f>
        <v>0</v>
      </c>
      <c r="J6" s="59">
        <f>'Sales Plan'!J16</f>
        <v>0</v>
      </c>
      <c r="K6" s="59">
        <f>'Sales Plan'!K16</f>
        <v>0</v>
      </c>
      <c r="L6" s="59">
        <f>'Sales Plan'!L16</f>
        <v>0</v>
      </c>
      <c r="M6" s="59">
        <f>'Sales Plan'!M16</f>
        <v>2</v>
      </c>
      <c r="N6" s="59">
        <f>'Sales Plan'!N16</f>
        <v>6</v>
      </c>
      <c r="O6" s="59">
        <f>'Sales Plan'!O16</f>
        <v>20</v>
      </c>
      <c r="P6" s="59">
        <f>'Sales Plan'!P16</f>
        <v>40</v>
      </c>
      <c r="Q6" s="59">
        <f>'Sales Plan'!Q16</f>
        <v>72</v>
      </c>
      <c r="R6" s="59">
        <f>'Sales Plan'!R16</f>
        <v>150</v>
      </c>
      <c r="S6" s="59">
        <f>'Sales Plan'!S16</f>
        <v>180</v>
      </c>
      <c r="T6" s="59">
        <f>'Sales Plan'!T16</f>
        <v>240</v>
      </c>
    </row>
    <row r="7" spans="1:20" x14ac:dyDescent="0.15">
      <c r="C7" s="7" t="s">
        <v>8</v>
      </c>
      <c r="E7" s="60">
        <f t="shared" ref="E7:T7" si="0">SUM(E4:E6)</f>
        <v>0</v>
      </c>
      <c r="F7" s="60">
        <f t="shared" si="0"/>
        <v>20</v>
      </c>
      <c r="G7" s="60">
        <f t="shared" si="0"/>
        <v>48</v>
      </c>
      <c r="H7" s="60">
        <f t="shared" si="0"/>
        <v>80</v>
      </c>
      <c r="I7" s="60">
        <f t="shared" si="0"/>
        <v>160</v>
      </c>
      <c r="J7" s="60">
        <f t="shared" si="0"/>
        <v>196</v>
      </c>
      <c r="K7" s="60">
        <f t="shared" si="0"/>
        <v>261</v>
      </c>
      <c r="L7" s="60">
        <f t="shared" si="0"/>
        <v>345</v>
      </c>
      <c r="M7" s="60">
        <f t="shared" si="0"/>
        <v>562</v>
      </c>
      <c r="N7" s="60">
        <f t="shared" si="0"/>
        <v>666</v>
      </c>
      <c r="O7" s="60">
        <f t="shared" si="0"/>
        <v>910</v>
      </c>
      <c r="P7" s="60">
        <f t="shared" si="0"/>
        <v>1200</v>
      </c>
      <c r="Q7" s="60">
        <f t="shared" si="0"/>
        <v>1512</v>
      </c>
      <c r="R7" s="60">
        <f t="shared" si="0"/>
        <v>1670</v>
      </c>
      <c r="S7" s="60">
        <f t="shared" si="0"/>
        <v>1780</v>
      </c>
      <c r="T7" s="60">
        <f t="shared" si="0"/>
        <v>1940</v>
      </c>
    </row>
    <row r="8" spans="1:20" x14ac:dyDescent="0.15"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spans="1:20" s="16" customFormat="1" x14ac:dyDescent="0.15">
      <c r="A9" s="6"/>
      <c r="B9" s="7"/>
      <c r="C9" s="7" t="s">
        <v>136</v>
      </c>
      <c r="D9" s="15"/>
      <c r="E9" s="62">
        <f>E7</f>
        <v>0</v>
      </c>
      <c r="F9" s="62">
        <f>F7+E9</f>
        <v>20</v>
      </c>
      <c r="G9" s="62">
        <f t="shared" ref="G9:T9" si="1">G7+F9</f>
        <v>68</v>
      </c>
      <c r="H9" s="62">
        <f t="shared" si="1"/>
        <v>148</v>
      </c>
      <c r="I9" s="62">
        <f t="shared" si="1"/>
        <v>308</v>
      </c>
      <c r="J9" s="62">
        <f t="shared" si="1"/>
        <v>504</v>
      </c>
      <c r="K9" s="62">
        <f t="shared" si="1"/>
        <v>765</v>
      </c>
      <c r="L9" s="62">
        <f t="shared" si="1"/>
        <v>1110</v>
      </c>
      <c r="M9" s="62">
        <f t="shared" si="1"/>
        <v>1672</v>
      </c>
      <c r="N9" s="62">
        <f t="shared" si="1"/>
        <v>2338</v>
      </c>
      <c r="O9" s="62">
        <f t="shared" si="1"/>
        <v>3248</v>
      </c>
      <c r="P9" s="62">
        <f t="shared" si="1"/>
        <v>4448</v>
      </c>
      <c r="Q9" s="62">
        <f t="shared" si="1"/>
        <v>5960</v>
      </c>
      <c r="R9" s="62">
        <f t="shared" si="1"/>
        <v>7630</v>
      </c>
      <c r="S9" s="62">
        <f t="shared" si="1"/>
        <v>9410</v>
      </c>
      <c r="T9" s="62">
        <f t="shared" si="1"/>
        <v>11350</v>
      </c>
    </row>
    <row r="10" spans="1:20" x14ac:dyDescent="0.15">
      <c r="D10" s="1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s="64" customFormat="1" x14ac:dyDescent="0.15">
      <c r="A11" s="1"/>
      <c r="B11" s="1" t="s">
        <v>117</v>
      </c>
      <c r="C11" s="7"/>
      <c r="D11" s="6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spans="1:20" s="16" customFormat="1" x14ac:dyDescent="0.15">
      <c r="A12" s="1"/>
      <c r="B12" s="1"/>
      <c r="C12" s="7" t="s">
        <v>30</v>
      </c>
      <c r="D12" s="15" t="s">
        <v>43</v>
      </c>
      <c r="E12" s="65">
        <f>'Sales Plan'!E20</f>
        <v>0</v>
      </c>
      <c r="F12" s="65">
        <f>'Sales Plan'!F20</f>
        <v>10000</v>
      </c>
      <c r="G12" s="65">
        <f>'Sales Plan'!G20</f>
        <v>10000</v>
      </c>
      <c r="H12" s="65">
        <f>'Sales Plan'!H20</f>
        <v>10000</v>
      </c>
      <c r="I12" s="65">
        <v>8000</v>
      </c>
      <c r="J12" s="65">
        <v>8000</v>
      </c>
      <c r="K12" s="65">
        <v>8000</v>
      </c>
      <c r="L12" s="65">
        <v>8000</v>
      </c>
      <c r="M12" s="65">
        <f>'Sales Plan'!M20</f>
        <v>6000</v>
      </c>
      <c r="N12" s="65">
        <f>'Sales Plan'!N20</f>
        <v>6000</v>
      </c>
      <c r="O12" s="65">
        <f>'Sales Plan'!O20</f>
        <v>6000</v>
      </c>
      <c r="P12" s="65">
        <f>'Sales Plan'!P20</f>
        <v>6000</v>
      </c>
      <c r="Q12" s="65">
        <f>'Sales Plan'!Q20</f>
        <v>5000</v>
      </c>
      <c r="R12" s="65">
        <f>'Sales Plan'!R20</f>
        <v>5000</v>
      </c>
      <c r="S12" s="65">
        <f>'Sales Plan'!S20</f>
        <v>5000</v>
      </c>
      <c r="T12" s="65">
        <f>'Sales Plan'!T20</f>
        <v>5000</v>
      </c>
    </row>
    <row r="13" spans="1:20" s="16" customFormat="1" x14ac:dyDescent="0.15">
      <c r="A13" s="1"/>
      <c r="B13" s="1"/>
      <c r="C13" s="7" t="s">
        <v>31</v>
      </c>
      <c r="D13" s="15" t="s">
        <v>43</v>
      </c>
      <c r="E13" s="65">
        <f>'Sales Plan'!E21</f>
        <v>0</v>
      </c>
      <c r="F13" s="65">
        <f>'Sales Plan'!F21</f>
        <v>0</v>
      </c>
      <c r="G13" s="65">
        <f>'Sales Plan'!G21</f>
        <v>0</v>
      </c>
      <c r="H13" s="65">
        <f>'Sales Plan'!H21</f>
        <v>0</v>
      </c>
      <c r="I13" s="65">
        <f>'Sales Plan'!I21</f>
        <v>12000</v>
      </c>
      <c r="J13" s="65">
        <f>'Sales Plan'!J21</f>
        <v>12000</v>
      </c>
      <c r="K13" s="65">
        <f>'Sales Plan'!K21</f>
        <v>12000</v>
      </c>
      <c r="L13" s="65">
        <f>'Sales Plan'!L21</f>
        <v>12000</v>
      </c>
      <c r="M13" s="65">
        <f>'Sales Plan'!M21</f>
        <v>10000</v>
      </c>
      <c r="N13" s="65">
        <f>'Sales Plan'!N21</f>
        <v>10000</v>
      </c>
      <c r="O13" s="65">
        <f>'Sales Plan'!O21</f>
        <v>10000</v>
      </c>
      <c r="P13" s="65">
        <f>'Sales Plan'!P21</f>
        <v>10000</v>
      </c>
      <c r="Q13" s="65">
        <f>'Sales Plan'!Q21</f>
        <v>8000</v>
      </c>
      <c r="R13" s="65">
        <f>'Sales Plan'!R21</f>
        <v>8000</v>
      </c>
      <c r="S13" s="65">
        <f>'Sales Plan'!S21</f>
        <v>8000</v>
      </c>
      <c r="T13" s="65">
        <f>'Sales Plan'!T21</f>
        <v>8000</v>
      </c>
    </row>
    <row r="14" spans="1:20" s="16" customFormat="1" x14ac:dyDescent="0.15">
      <c r="A14" s="1"/>
      <c r="B14" s="1"/>
      <c r="C14" s="7" t="s">
        <v>32</v>
      </c>
      <c r="D14" s="15" t="s">
        <v>43</v>
      </c>
      <c r="E14" s="65">
        <f>'Sales Plan'!E22</f>
        <v>0</v>
      </c>
      <c r="F14" s="65">
        <f>'Sales Plan'!F22</f>
        <v>0</v>
      </c>
      <c r="G14" s="65">
        <f>'Sales Plan'!G22</f>
        <v>0</v>
      </c>
      <c r="H14" s="65">
        <f>'Sales Plan'!H22</f>
        <v>0</v>
      </c>
      <c r="I14" s="65">
        <f>'Sales Plan'!I22</f>
        <v>0</v>
      </c>
      <c r="J14" s="65">
        <f>'Sales Plan'!J22</f>
        <v>0</v>
      </c>
      <c r="K14" s="65">
        <f>'Sales Plan'!K22</f>
        <v>0</v>
      </c>
      <c r="L14" s="65">
        <f>'Sales Plan'!L22</f>
        <v>0</v>
      </c>
      <c r="M14" s="65">
        <f>'Sales Plan'!M22</f>
        <v>16000</v>
      </c>
      <c r="N14" s="65">
        <f>'Sales Plan'!N22</f>
        <v>16000</v>
      </c>
      <c r="O14" s="65">
        <f>'Sales Plan'!O22</f>
        <v>16000</v>
      </c>
      <c r="P14" s="65">
        <f>'Sales Plan'!P22</f>
        <v>16000</v>
      </c>
      <c r="Q14" s="65">
        <f>'Sales Plan'!Q22</f>
        <v>16000</v>
      </c>
      <c r="R14" s="65">
        <f>'Sales Plan'!R22</f>
        <v>16000</v>
      </c>
      <c r="S14" s="65">
        <f>'Sales Plan'!S22</f>
        <v>16000</v>
      </c>
      <c r="T14" s="65">
        <f>'Sales Plan'!T22</f>
        <v>16000</v>
      </c>
    </row>
    <row r="15" spans="1:20" ht="27" customHeight="1" x14ac:dyDescent="0.15"/>
    <row r="16" spans="1:20" s="4" customFormat="1" x14ac:dyDescent="0.15">
      <c r="A16" s="1" t="s">
        <v>118</v>
      </c>
      <c r="D16" s="4" t="s">
        <v>119</v>
      </c>
      <c r="E16" s="4" t="s">
        <v>73</v>
      </c>
      <c r="F16" s="4" t="s">
        <v>74</v>
      </c>
      <c r="G16" s="4" t="s">
        <v>75</v>
      </c>
      <c r="H16" s="4" t="s">
        <v>91</v>
      </c>
      <c r="I16" s="4" t="s">
        <v>73</v>
      </c>
      <c r="J16" s="4" t="s">
        <v>74</v>
      </c>
      <c r="K16" s="4" t="s">
        <v>75</v>
      </c>
      <c r="L16" s="4" t="s">
        <v>91</v>
      </c>
      <c r="M16" s="4" t="s">
        <v>73</v>
      </c>
      <c r="N16" s="4" t="s">
        <v>74</v>
      </c>
      <c r="O16" s="4" t="s">
        <v>75</v>
      </c>
      <c r="P16" s="4" t="s">
        <v>91</v>
      </c>
      <c r="Q16" s="4" t="s">
        <v>73</v>
      </c>
      <c r="R16" s="4" t="s">
        <v>74</v>
      </c>
      <c r="S16" s="4" t="s">
        <v>75</v>
      </c>
      <c r="T16" s="4" t="s">
        <v>91</v>
      </c>
    </row>
    <row r="17" spans="1:20" s="4" customFormat="1" x14ac:dyDescent="0.15">
      <c r="E17" s="4" t="s">
        <v>180</v>
      </c>
      <c r="F17" s="4" t="s">
        <v>180</v>
      </c>
      <c r="G17" s="4" t="s">
        <v>180</v>
      </c>
      <c r="H17" s="4" t="s">
        <v>180</v>
      </c>
      <c r="I17" s="4" t="s">
        <v>36</v>
      </c>
      <c r="J17" s="4" t="s">
        <v>36</v>
      </c>
      <c r="K17" s="4" t="s">
        <v>36</v>
      </c>
      <c r="L17" s="4" t="s">
        <v>36</v>
      </c>
      <c r="M17" s="4" t="s">
        <v>37</v>
      </c>
      <c r="N17" s="4" t="s">
        <v>37</v>
      </c>
      <c r="O17" s="4" t="s">
        <v>37</v>
      </c>
      <c r="P17" s="4" t="s">
        <v>37</v>
      </c>
      <c r="Q17" s="4" t="s">
        <v>38</v>
      </c>
      <c r="R17" s="4" t="s">
        <v>38</v>
      </c>
      <c r="S17" s="4" t="s">
        <v>38</v>
      </c>
      <c r="T17" s="4" t="s">
        <v>38</v>
      </c>
    </row>
    <row r="18" spans="1:20" x14ac:dyDescent="0.15">
      <c r="B18" s="1" t="s">
        <v>120</v>
      </c>
    </row>
    <row r="19" spans="1:20" s="10" customFormat="1" x14ac:dyDescent="0.15">
      <c r="A19" s="1"/>
      <c r="B19" s="1"/>
      <c r="C19" s="7" t="s">
        <v>121</v>
      </c>
      <c r="D19" s="66"/>
      <c r="E19" s="67">
        <v>0</v>
      </c>
      <c r="F19" s="67">
        <v>3000</v>
      </c>
      <c r="G19" s="67">
        <v>3000</v>
      </c>
      <c r="H19" s="67">
        <v>2750</v>
      </c>
      <c r="I19" s="67">
        <v>2750</v>
      </c>
      <c r="J19" s="67">
        <v>2500</v>
      </c>
      <c r="K19" s="67">
        <v>2500</v>
      </c>
      <c r="L19" s="67">
        <v>2500</v>
      </c>
      <c r="M19" s="67">
        <v>2000</v>
      </c>
      <c r="N19" s="67">
        <v>2000</v>
      </c>
      <c r="O19" s="67">
        <v>2000</v>
      </c>
      <c r="P19" s="67">
        <v>2000</v>
      </c>
      <c r="Q19" s="67">
        <v>1500</v>
      </c>
      <c r="R19" s="67">
        <v>1500</v>
      </c>
      <c r="S19" s="67">
        <v>1500</v>
      </c>
      <c r="T19" s="67">
        <v>1500</v>
      </c>
    </row>
    <row r="20" spans="1:20" s="10" customFormat="1" x14ac:dyDescent="0.15">
      <c r="A20" s="1"/>
      <c r="B20" s="7"/>
      <c r="C20" s="7" t="s">
        <v>122</v>
      </c>
      <c r="D20" s="68">
        <v>0.2</v>
      </c>
      <c r="E20" s="124">
        <f t="shared" ref="E20:T20" si="2">E13*$D20</f>
        <v>0</v>
      </c>
      <c r="F20" s="124">
        <f t="shared" si="2"/>
        <v>0</v>
      </c>
      <c r="G20" s="124">
        <f t="shared" si="2"/>
        <v>0</v>
      </c>
      <c r="H20" s="124">
        <f t="shared" si="2"/>
        <v>0</v>
      </c>
      <c r="I20" s="124">
        <f t="shared" si="2"/>
        <v>2400</v>
      </c>
      <c r="J20" s="124">
        <f t="shared" si="2"/>
        <v>2400</v>
      </c>
      <c r="K20" s="124">
        <f t="shared" si="2"/>
        <v>2400</v>
      </c>
      <c r="L20" s="124">
        <f t="shared" si="2"/>
        <v>2400</v>
      </c>
      <c r="M20" s="124">
        <f t="shared" si="2"/>
        <v>2000</v>
      </c>
      <c r="N20" s="124">
        <f t="shared" si="2"/>
        <v>2000</v>
      </c>
      <c r="O20" s="124">
        <f t="shared" si="2"/>
        <v>2000</v>
      </c>
      <c r="P20" s="124">
        <f t="shared" si="2"/>
        <v>2000</v>
      </c>
      <c r="Q20" s="124">
        <f t="shared" si="2"/>
        <v>1600</v>
      </c>
      <c r="R20" s="124">
        <f t="shared" si="2"/>
        <v>1600</v>
      </c>
      <c r="S20" s="124">
        <f t="shared" si="2"/>
        <v>1600</v>
      </c>
      <c r="T20" s="124">
        <f t="shared" si="2"/>
        <v>1600</v>
      </c>
    </row>
    <row r="21" spans="1:20" s="10" customFormat="1" x14ac:dyDescent="0.15">
      <c r="A21" s="1"/>
      <c r="B21" s="7"/>
      <c r="C21" s="7" t="s">
        <v>123</v>
      </c>
      <c r="D21" s="68">
        <v>0.2</v>
      </c>
      <c r="E21" s="124">
        <f t="shared" ref="E21:T21" si="3">E14*$D21</f>
        <v>0</v>
      </c>
      <c r="F21" s="124">
        <f t="shared" si="3"/>
        <v>0</v>
      </c>
      <c r="G21" s="124">
        <f t="shared" si="3"/>
        <v>0</v>
      </c>
      <c r="H21" s="124">
        <f t="shared" si="3"/>
        <v>0</v>
      </c>
      <c r="I21" s="124">
        <f t="shared" si="3"/>
        <v>0</v>
      </c>
      <c r="J21" s="124">
        <f t="shared" si="3"/>
        <v>0</v>
      </c>
      <c r="K21" s="124">
        <f t="shared" si="3"/>
        <v>0</v>
      </c>
      <c r="L21" s="124">
        <f t="shared" si="3"/>
        <v>0</v>
      </c>
      <c r="M21" s="124">
        <f t="shared" si="3"/>
        <v>3200</v>
      </c>
      <c r="N21" s="124">
        <f t="shared" si="3"/>
        <v>3200</v>
      </c>
      <c r="O21" s="124">
        <f t="shared" si="3"/>
        <v>3200</v>
      </c>
      <c r="P21" s="124">
        <f t="shared" si="3"/>
        <v>3200</v>
      </c>
      <c r="Q21" s="124">
        <f t="shared" si="3"/>
        <v>3200</v>
      </c>
      <c r="R21" s="124">
        <f t="shared" si="3"/>
        <v>3200</v>
      </c>
      <c r="S21" s="124">
        <f t="shared" si="3"/>
        <v>3200</v>
      </c>
      <c r="T21" s="124">
        <f t="shared" si="3"/>
        <v>3200</v>
      </c>
    </row>
    <row r="22" spans="1:20" x14ac:dyDescent="0.15"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15">
      <c r="B23" s="1" t="s">
        <v>124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10" customFormat="1" x14ac:dyDescent="0.15">
      <c r="A24" s="1"/>
      <c r="B24" s="1"/>
      <c r="C24" s="7" t="s">
        <v>121</v>
      </c>
      <c r="D24" s="67"/>
      <c r="E24" s="57">
        <f t="shared" ref="E24:T24" si="4">E19*E4</f>
        <v>0</v>
      </c>
      <c r="F24" s="57">
        <f t="shared" si="4"/>
        <v>60000</v>
      </c>
      <c r="G24" s="57">
        <f t="shared" si="4"/>
        <v>144000</v>
      </c>
      <c r="H24" s="57">
        <f t="shared" si="4"/>
        <v>220000</v>
      </c>
      <c r="I24" s="57">
        <f t="shared" si="4"/>
        <v>412500</v>
      </c>
      <c r="J24" s="57">
        <f t="shared" si="4"/>
        <v>450000</v>
      </c>
      <c r="K24" s="57">
        <f t="shared" si="4"/>
        <v>562500</v>
      </c>
      <c r="L24" s="57">
        <f t="shared" si="4"/>
        <v>750000</v>
      </c>
      <c r="M24" s="57">
        <f t="shared" si="4"/>
        <v>1000000</v>
      </c>
      <c r="N24" s="57">
        <f t="shared" si="4"/>
        <v>1200000</v>
      </c>
      <c r="O24" s="57">
        <f t="shared" si="4"/>
        <v>1600000</v>
      </c>
      <c r="P24" s="57">
        <f t="shared" si="4"/>
        <v>2000000</v>
      </c>
      <c r="Q24" s="57">
        <f t="shared" si="4"/>
        <v>1800000</v>
      </c>
      <c r="R24" s="57">
        <f t="shared" si="4"/>
        <v>1800000</v>
      </c>
      <c r="S24" s="57">
        <f t="shared" si="4"/>
        <v>1800000</v>
      </c>
      <c r="T24" s="57">
        <f t="shared" si="4"/>
        <v>1800000</v>
      </c>
    </row>
    <row r="25" spans="1:20" s="10" customFormat="1" x14ac:dyDescent="0.15">
      <c r="A25" s="1"/>
      <c r="B25" s="7"/>
      <c r="C25" s="7" t="s">
        <v>122</v>
      </c>
      <c r="D25" s="67"/>
      <c r="E25" s="57">
        <f t="shared" ref="E25:T25" si="5">E20*E5</f>
        <v>0</v>
      </c>
      <c r="F25" s="57">
        <f t="shared" si="5"/>
        <v>0</v>
      </c>
      <c r="G25" s="57">
        <f t="shared" si="5"/>
        <v>0</v>
      </c>
      <c r="H25" s="57">
        <f t="shared" si="5"/>
        <v>0</v>
      </c>
      <c r="I25" s="57">
        <f t="shared" si="5"/>
        <v>24000</v>
      </c>
      <c r="J25" s="57">
        <f t="shared" si="5"/>
        <v>38400</v>
      </c>
      <c r="K25" s="57">
        <f t="shared" si="5"/>
        <v>86400</v>
      </c>
      <c r="L25" s="57">
        <f t="shared" si="5"/>
        <v>108000</v>
      </c>
      <c r="M25" s="57">
        <f t="shared" si="5"/>
        <v>120000</v>
      </c>
      <c r="N25" s="57">
        <f t="shared" si="5"/>
        <v>120000</v>
      </c>
      <c r="O25" s="57">
        <f t="shared" si="5"/>
        <v>180000</v>
      </c>
      <c r="P25" s="57">
        <f t="shared" si="5"/>
        <v>320000</v>
      </c>
      <c r="Q25" s="57">
        <f t="shared" si="5"/>
        <v>384000</v>
      </c>
      <c r="R25" s="57">
        <f t="shared" si="5"/>
        <v>512000</v>
      </c>
      <c r="S25" s="57">
        <f t="shared" si="5"/>
        <v>640000</v>
      </c>
      <c r="T25" s="57">
        <f t="shared" si="5"/>
        <v>800000</v>
      </c>
    </row>
    <row r="26" spans="1:20" s="10" customFormat="1" x14ac:dyDescent="0.15">
      <c r="A26" s="1"/>
      <c r="B26" s="7"/>
      <c r="C26" s="7" t="s">
        <v>123</v>
      </c>
      <c r="D26" s="67"/>
      <c r="E26" s="57">
        <f t="shared" ref="E26:T26" si="6">E21*E6</f>
        <v>0</v>
      </c>
      <c r="F26" s="57">
        <f t="shared" si="6"/>
        <v>0</v>
      </c>
      <c r="G26" s="57">
        <f t="shared" si="6"/>
        <v>0</v>
      </c>
      <c r="H26" s="57">
        <f t="shared" si="6"/>
        <v>0</v>
      </c>
      <c r="I26" s="57">
        <f t="shared" si="6"/>
        <v>0</v>
      </c>
      <c r="J26" s="57">
        <f t="shared" si="6"/>
        <v>0</v>
      </c>
      <c r="K26" s="57">
        <f t="shared" si="6"/>
        <v>0</v>
      </c>
      <c r="L26" s="57">
        <f t="shared" si="6"/>
        <v>0</v>
      </c>
      <c r="M26" s="57">
        <f t="shared" si="6"/>
        <v>6400</v>
      </c>
      <c r="N26" s="57">
        <f t="shared" si="6"/>
        <v>19200</v>
      </c>
      <c r="O26" s="57">
        <f t="shared" si="6"/>
        <v>64000</v>
      </c>
      <c r="P26" s="57">
        <f t="shared" si="6"/>
        <v>128000</v>
      </c>
      <c r="Q26" s="57">
        <f t="shared" si="6"/>
        <v>230400</v>
      </c>
      <c r="R26" s="57">
        <f t="shared" si="6"/>
        <v>480000</v>
      </c>
      <c r="S26" s="57">
        <f t="shared" si="6"/>
        <v>576000</v>
      </c>
      <c r="T26" s="57">
        <f t="shared" si="6"/>
        <v>768000</v>
      </c>
    </row>
    <row r="27" spans="1:20" x14ac:dyDescent="0.15">
      <c r="C27" s="7" t="s">
        <v>125</v>
      </c>
      <c r="E27" s="69">
        <f>SUM(E24:E26)</f>
        <v>0</v>
      </c>
      <c r="F27" s="69">
        <f t="shared" ref="F27:T27" si="7">SUM(F24:F26)</f>
        <v>60000</v>
      </c>
      <c r="G27" s="69">
        <f t="shared" si="7"/>
        <v>144000</v>
      </c>
      <c r="H27" s="69">
        <f t="shared" si="7"/>
        <v>220000</v>
      </c>
      <c r="I27" s="69">
        <f t="shared" si="7"/>
        <v>436500</v>
      </c>
      <c r="J27" s="69">
        <f t="shared" si="7"/>
        <v>488400</v>
      </c>
      <c r="K27" s="69">
        <f t="shared" si="7"/>
        <v>648900</v>
      </c>
      <c r="L27" s="69">
        <f t="shared" si="7"/>
        <v>858000</v>
      </c>
      <c r="M27" s="69">
        <f t="shared" si="7"/>
        <v>1126400</v>
      </c>
      <c r="N27" s="69">
        <f t="shared" si="7"/>
        <v>1339200</v>
      </c>
      <c r="O27" s="69">
        <f t="shared" si="7"/>
        <v>1844000</v>
      </c>
      <c r="P27" s="69">
        <f t="shared" si="7"/>
        <v>2448000</v>
      </c>
      <c r="Q27" s="69">
        <f t="shared" si="7"/>
        <v>2414400</v>
      </c>
      <c r="R27" s="69">
        <f t="shared" si="7"/>
        <v>2792000</v>
      </c>
      <c r="S27" s="69">
        <f t="shared" si="7"/>
        <v>3016000</v>
      </c>
      <c r="T27" s="69">
        <f t="shared" si="7"/>
        <v>3368000</v>
      </c>
    </row>
    <row r="28" spans="1:20" x14ac:dyDescent="0.15"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15">
      <c r="B29" s="1" t="s">
        <v>126</v>
      </c>
    </row>
    <row r="30" spans="1:20" s="10" customFormat="1" x14ac:dyDescent="0.15">
      <c r="A30" s="1"/>
      <c r="B30" s="1"/>
      <c r="C30" s="7" t="s">
        <v>127</v>
      </c>
      <c r="D30" s="5"/>
      <c r="E30" s="70">
        <v>1</v>
      </c>
      <c r="F30" s="70">
        <v>1</v>
      </c>
      <c r="G30" s="70">
        <v>1</v>
      </c>
      <c r="H30" s="70">
        <v>1</v>
      </c>
      <c r="I30" s="70">
        <v>1</v>
      </c>
      <c r="J30" s="70">
        <v>1</v>
      </c>
      <c r="K30" s="70">
        <v>1</v>
      </c>
      <c r="L30" s="70">
        <v>1</v>
      </c>
      <c r="M30" s="70">
        <v>1</v>
      </c>
      <c r="N30" s="70">
        <v>1</v>
      </c>
      <c r="O30" s="70">
        <v>1</v>
      </c>
      <c r="P30" s="70">
        <v>1</v>
      </c>
      <c r="Q30" s="70">
        <v>1</v>
      </c>
      <c r="R30" s="70">
        <v>1</v>
      </c>
      <c r="S30" s="70">
        <v>1</v>
      </c>
      <c r="T30" s="70">
        <v>1</v>
      </c>
    </row>
    <row r="31" spans="1:20" s="10" customFormat="1" x14ac:dyDescent="0.15">
      <c r="A31" s="1"/>
      <c r="B31" s="1"/>
      <c r="C31" s="7" t="s">
        <v>128</v>
      </c>
      <c r="D31" s="18">
        <v>10</v>
      </c>
      <c r="E31" s="71">
        <f>MAX(1,(ROUND((E32/10),0)))</f>
        <v>1</v>
      </c>
      <c r="F31" s="71">
        <f t="shared" ref="F31:T31" si="8">MAX(1,(ROUND((F32/10),0)))</f>
        <v>1</v>
      </c>
      <c r="G31" s="71">
        <f t="shared" si="8"/>
        <v>1</v>
      </c>
      <c r="H31" s="71">
        <f t="shared" si="8"/>
        <v>1</v>
      </c>
      <c r="I31" s="71">
        <f t="shared" si="8"/>
        <v>1</v>
      </c>
      <c r="J31" s="71">
        <f t="shared" si="8"/>
        <v>1</v>
      </c>
      <c r="K31" s="71">
        <f t="shared" si="8"/>
        <v>1</v>
      </c>
      <c r="L31" s="71">
        <f t="shared" si="8"/>
        <v>1</v>
      </c>
      <c r="M31" s="71">
        <f t="shared" si="8"/>
        <v>1</v>
      </c>
      <c r="N31" s="71">
        <f t="shared" si="8"/>
        <v>1</v>
      </c>
      <c r="O31" s="71">
        <f t="shared" si="8"/>
        <v>2</v>
      </c>
      <c r="P31" s="71">
        <f t="shared" si="8"/>
        <v>2</v>
      </c>
      <c r="Q31" s="71">
        <f t="shared" si="8"/>
        <v>3</v>
      </c>
      <c r="R31" s="71">
        <f t="shared" si="8"/>
        <v>3</v>
      </c>
      <c r="S31" s="71">
        <f t="shared" si="8"/>
        <v>3</v>
      </c>
      <c r="T31" s="71">
        <f t="shared" si="8"/>
        <v>3</v>
      </c>
    </row>
    <row r="32" spans="1:20" s="10" customFormat="1" x14ac:dyDescent="0.15">
      <c r="A32" s="1"/>
      <c r="B32" s="1"/>
      <c r="C32" s="7" t="s">
        <v>129</v>
      </c>
      <c r="D32" s="18">
        <v>60</v>
      </c>
      <c r="E32" s="71">
        <f>MAX(1,INT(ROUND((E7/$D$32+0.5),0)))</f>
        <v>1</v>
      </c>
      <c r="F32" s="71">
        <f>MAX(1,INT(ROUND((F7/$D$32+0.5),0)))</f>
        <v>1</v>
      </c>
      <c r="G32" s="71">
        <f>MAX(1,INT(ROUND((G7/$D$32+0.5),0)))</f>
        <v>1</v>
      </c>
      <c r="H32" s="71">
        <f t="shared" ref="H32:T32" si="9">MAX(1,INT(ROUND((H7/$D$32+0.5),0)))</f>
        <v>2</v>
      </c>
      <c r="I32" s="71">
        <f t="shared" si="9"/>
        <v>3</v>
      </c>
      <c r="J32" s="71">
        <f t="shared" si="9"/>
        <v>4</v>
      </c>
      <c r="K32" s="71">
        <f t="shared" si="9"/>
        <v>5</v>
      </c>
      <c r="L32" s="71">
        <f t="shared" si="9"/>
        <v>6</v>
      </c>
      <c r="M32" s="71">
        <f t="shared" si="9"/>
        <v>10</v>
      </c>
      <c r="N32" s="71">
        <f t="shared" si="9"/>
        <v>12</v>
      </c>
      <c r="O32" s="71">
        <f t="shared" si="9"/>
        <v>16</v>
      </c>
      <c r="P32" s="71">
        <f t="shared" si="9"/>
        <v>21</v>
      </c>
      <c r="Q32" s="71">
        <f t="shared" si="9"/>
        <v>26</v>
      </c>
      <c r="R32" s="71">
        <f t="shared" si="9"/>
        <v>28</v>
      </c>
      <c r="S32" s="71">
        <f t="shared" si="9"/>
        <v>30</v>
      </c>
      <c r="T32" s="71">
        <f t="shared" si="9"/>
        <v>33</v>
      </c>
    </row>
    <row r="33" spans="1:20" s="10" customFormat="1" x14ac:dyDescent="0.15">
      <c r="A33" s="1"/>
      <c r="B33" s="1"/>
      <c r="C33" s="7" t="s">
        <v>130</v>
      </c>
      <c r="D33" s="5"/>
      <c r="E33" s="72">
        <v>0</v>
      </c>
      <c r="F33" s="72">
        <v>0</v>
      </c>
      <c r="G33" s="72">
        <v>0</v>
      </c>
      <c r="H33" s="72">
        <v>0</v>
      </c>
      <c r="I33" s="72">
        <v>1</v>
      </c>
      <c r="J33" s="72">
        <v>1</v>
      </c>
      <c r="K33" s="72">
        <v>1</v>
      </c>
      <c r="L33" s="72">
        <v>2</v>
      </c>
      <c r="M33" s="72">
        <v>2</v>
      </c>
      <c r="N33" s="72">
        <v>3</v>
      </c>
      <c r="O33" s="72">
        <v>4</v>
      </c>
      <c r="P33" s="72">
        <v>5</v>
      </c>
      <c r="Q33" s="72">
        <v>6</v>
      </c>
      <c r="R33" s="72">
        <v>7</v>
      </c>
      <c r="S33" s="72">
        <v>8</v>
      </c>
      <c r="T33" s="72">
        <v>9</v>
      </c>
    </row>
    <row r="34" spans="1:20" x14ac:dyDescent="0.15">
      <c r="B34" s="1"/>
      <c r="C34" s="7" t="s">
        <v>181</v>
      </c>
      <c r="E34" s="73">
        <f>SUM(E30:E33)</f>
        <v>3</v>
      </c>
      <c r="F34" s="73">
        <f t="shared" ref="F34:T34" si="10">SUM(F30:F33)</f>
        <v>3</v>
      </c>
      <c r="G34" s="73">
        <f t="shared" si="10"/>
        <v>3</v>
      </c>
      <c r="H34" s="73">
        <f t="shared" si="10"/>
        <v>4</v>
      </c>
      <c r="I34" s="73">
        <f t="shared" si="10"/>
        <v>6</v>
      </c>
      <c r="J34" s="73">
        <f t="shared" si="10"/>
        <v>7</v>
      </c>
      <c r="K34" s="73">
        <f t="shared" si="10"/>
        <v>8</v>
      </c>
      <c r="L34" s="73">
        <f t="shared" si="10"/>
        <v>10</v>
      </c>
      <c r="M34" s="73">
        <f t="shared" si="10"/>
        <v>14</v>
      </c>
      <c r="N34" s="73">
        <f t="shared" si="10"/>
        <v>17</v>
      </c>
      <c r="O34" s="73">
        <f t="shared" si="10"/>
        <v>23</v>
      </c>
      <c r="P34" s="73">
        <f t="shared" si="10"/>
        <v>29</v>
      </c>
      <c r="Q34" s="73">
        <f t="shared" si="10"/>
        <v>36</v>
      </c>
      <c r="R34" s="73">
        <f t="shared" si="10"/>
        <v>39</v>
      </c>
      <c r="S34" s="73">
        <f t="shared" si="10"/>
        <v>42</v>
      </c>
      <c r="T34" s="73">
        <f t="shared" si="10"/>
        <v>46</v>
      </c>
    </row>
    <row r="35" spans="1:20" x14ac:dyDescent="0.15">
      <c r="B35" s="1"/>
    </row>
    <row r="36" spans="1:20" x14ac:dyDescent="0.15">
      <c r="B36" s="1" t="s">
        <v>182</v>
      </c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s="10" customFormat="1" x14ac:dyDescent="0.15">
      <c r="A37" s="1"/>
      <c r="B37" s="1"/>
      <c r="C37" s="7" t="s">
        <v>127</v>
      </c>
      <c r="D37" s="74">
        <v>175000</v>
      </c>
      <c r="E37" s="57">
        <f>E30*($D37/4)*'Staffing Plan'!Z$4</f>
        <v>52500</v>
      </c>
      <c r="F37" s="57">
        <f>F30*($D37/4)*'Staffing Plan'!AA$4</f>
        <v>52500</v>
      </c>
      <c r="G37" s="57">
        <f>G30*($D37/4)*'Staffing Plan'!AB$4</f>
        <v>52500</v>
      </c>
      <c r="H37" s="57">
        <f>H30*($D37/4)*'Staffing Plan'!AC$4</f>
        <v>52500</v>
      </c>
      <c r="I37" s="57">
        <f>I30*($D37/4)*'Staffing Plan'!AD$4</f>
        <v>53375</v>
      </c>
      <c r="J37" s="57">
        <f>J30*($D37/4)*'Staffing Plan'!AE$4</f>
        <v>54250</v>
      </c>
      <c r="K37" s="57">
        <f>K30*($D37/4)*'Staffing Plan'!AF$4</f>
        <v>55125</v>
      </c>
      <c r="L37" s="57">
        <f>L30*($D37/4)*'Staffing Plan'!AG$4</f>
        <v>56000</v>
      </c>
      <c r="M37" s="57">
        <f>M30*($D37/4)*'Staffing Plan'!AH$4</f>
        <v>56875</v>
      </c>
      <c r="N37" s="57">
        <f>N30*($D37/4)*'Staffing Plan'!AI$4</f>
        <v>57750</v>
      </c>
      <c r="O37" s="57">
        <f>O30*($D37/4)*'Staffing Plan'!AJ$4</f>
        <v>58625</v>
      </c>
      <c r="P37" s="57">
        <f>P30*($D37/4)*'Staffing Plan'!AK$4</f>
        <v>59500.000000000007</v>
      </c>
      <c r="Q37" s="57">
        <f>Q30*($D37/4)*'Staffing Plan'!AL$4</f>
        <v>60375.000000000007</v>
      </c>
      <c r="R37" s="57">
        <f>R30*($D37/4)*'Staffing Plan'!AM$4</f>
        <v>61250.000000000007</v>
      </c>
      <c r="S37" s="57">
        <f>S30*($D37/4)*'Staffing Plan'!AN$4</f>
        <v>62125.000000000007</v>
      </c>
      <c r="T37" s="57">
        <f>T30*($D37/4)*'Staffing Plan'!AO$4</f>
        <v>63000.000000000007</v>
      </c>
    </row>
    <row r="38" spans="1:20" s="10" customFormat="1" x14ac:dyDescent="0.15">
      <c r="A38" s="1"/>
      <c r="B38" s="1"/>
      <c r="C38" s="7" t="s">
        <v>128</v>
      </c>
      <c r="D38" s="74">
        <v>140000</v>
      </c>
      <c r="E38" s="57">
        <f>E31*($D38/4)*'Staffing Plan'!Z$4</f>
        <v>42000</v>
      </c>
      <c r="F38" s="57">
        <f>F31*($D38/4)*'Staffing Plan'!AA$4</f>
        <v>42000</v>
      </c>
      <c r="G38" s="57">
        <f>G31*($D38/4)*'Staffing Plan'!AB$4</f>
        <v>42000</v>
      </c>
      <c r="H38" s="57">
        <f>H31*($D38/4)*'Staffing Plan'!AC$4</f>
        <v>42000</v>
      </c>
      <c r="I38" s="57">
        <f>I31*($D38/4)*'Staffing Plan'!AD$4</f>
        <v>42700</v>
      </c>
      <c r="J38" s="57">
        <f>J31*($D38/4)*'Staffing Plan'!AE$4</f>
        <v>43400</v>
      </c>
      <c r="K38" s="57">
        <f>K31*($D38/4)*'Staffing Plan'!AF$4</f>
        <v>44100</v>
      </c>
      <c r="L38" s="57">
        <f>L31*($D38/4)*'Staffing Plan'!AG$4</f>
        <v>44800</v>
      </c>
      <c r="M38" s="57">
        <f>M31*($D38/4)*'Staffing Plan'!AH$4</f>
        <v>45500</v>
      </c>
      <c r="N38" s="57">
        <f>N31*($D38/4)*'Staffing Plan'!AI$4</f>
        <v>46200</v>
      </c>
      <c r="O38" s="57">
        <f>O31*($D38/4)*'Staffing Plan'!AJ$4</f>
        <v>93800</v>
      </c>
      <c r="P38" s="57">
        <f>P31*($D38/4)*'Staffing Plan'!AK$4</f>
        <v>95200</v>
      </c>
      <c r="Q38" s="57">
        <f>Q31*($D38/4)*'Staffing Plan'!AL$4</f>
        <v>144900</v>
      </c>
      <c r="R38" s="57">
        <f>R31*($D38/4)*'Staffing Plan'!AM$4</f>
        <v>147000</v>
      </c>
      <c r="S38" s="57">
        <f>S31*($D38/4)*'Staffing Plan'!AN$4</f>
        <v>149100.00000000003</v>
      </c>
      <c r="T38" s="57">
        <f>T31*($D38/4)*'Staffing Plan'!AO$4</f>
        <v>151200.00000000003</v>
      </c>
    </row>
    <row r="39" spans="1:20" s="10" customFormat="1" x14ac:dyDescent="0.15">
      <c r="A39" s="1"/>
      <c r="B39" s="1"/>
      <c r="C39" s="7" t="s">
        <v>129</v>
      </c>
      <c r="D39" s="74">
        <v>70000</v>
      </c>
      <c r="E39" s="57">
        <f>E32*($D39/4)*'Staffing Plan'!Z$4</f>
        <v>21000</v>
      </c>
      <c r="F39" s="57">
        <f>F32*($D39/4)*'Staffing Plan'!AA$4</f>
        <v>21000</v>
      </c>
      <c r="G39" s="57">
        <f>G32*($D39/4)*'Staffing Plan'!AB$4</f>
        <v>21000</v>
      </c>
      <c r="H39" s="57">
        <f>H32*($D39/4)*'Staffing Plan'!AC$4</f>
        <v>42000</v>
      </c>
      <c r="I39" s="57">
        <f>I32*($D39/4)*'Staffing Plan'!AD$4</f>
        <v>64050</v>
      </c>
      <c r="J39" s="57">
        <f>J32*($D39/4)*'Staffing Plan'!AE$4</f>
        <v>86800</v>
      </c>
      <c r="K39" s="57">
        <f>K32*($D39/4)*'Staffing Plan'!AF$4</f>
        <v>110250</v>
      </c>
      <c r="L39" s="57">
        <f>L32*($D39/4)*'Staffing Plan'!AG$4</f>
        <v>134400</v>
      </c>
      <c r="M39" s="57">
        <f>M32*($D39/4)*'Staffing Plan'!AH$4</f>
        <v>227500</v>
      </c>
      <c r="N39" s="57">
        <f>N32*($D39/4)*'Staffing Plan'!AI$4</f>
        <v>277200</v>
      </c>
      <c r="O39" s="57">
        <f>O32*($D39/4)*'Staffing Plan'!AJ$4</f>
        <v>375200</v>
      </c>
      <c r="P39" s="57">
        <f>P32*($D39/4)*'Staffing Plan'!AK$4</f>
        <v>499800.00000000006</v>
      </c>
      <c r="Q39" s="57">
        <f>Q32*($D39/4)*'Staffing Plan'!AL$4</f>
        <v>627900</v>
      </c>
      <c r="R39" s="57">
        <f>R32*($D39/4)*'Staffing Plan'!AM$4</f>
        <v>686000.00000000012</v>
      </c>
      <c r="S39" s="57">
        <f>S32*($D39/4)*'Staffing Plan'!AN$4</f>
        <v>745500.00000000012</v>
      </c>
      <c r="T39" s="57">
        <f>T32*($D39/4)*'Staffing Plan'!AO$4</f>
        <v>831600.00000000012</v>
      </c>
    </row>
    <row r="40" spans="1:20" s="10" customFormat="1" x14ac:dyDescent="0.15">
      <c r="A40" s="1"/>
      <c r="B40" s="1"/>
      <c r="C40" s="7" t="s">
        <v>130</v>
      </c>
      <c r="D40" s="74">
        <v>50000</v>
      </c>
      <c r="E40" s="57">
        <f>E33*($D40/4)*'Staffing Plan'!Z$4</f>
        <v>0</v>
      </c>
      <c r="F40" s="57">
        <f>F33*($D40/4)*'Staffing Plan'!AA$4</f>
        <v>0</v>
      </c>
      <c r="G40" s="57">
        <f>G33*($D40/4)*'Staffing Plan'!AB$4</f>
        <v>0</v>
      </c>
      <c r="H40" s="57">
        <f>H33*($D40/4)*'Staffing Plan'!AC$4</f>
        <v>0</v>
      </c>
      <c r="I40" s="57">
        <f>I33*($D40/4)*'Staffing Plan'!AD$4</f>
        <v>15250</v>
      </c>
      <c r="J40" s="57">
        <f>J33*($D40/4)*'Staffing Plan'!AE$4</f>
        <v>15500</v>
      </c>
      <c r="K40" s="57">
        <f>K33*($D40/4)*'Staffing Plan'!AF$4</f>
        <v>15750</v>
      </c>
      <c r="L40" s="57">
        <f>L33*($D40/4)*'Staffing Plan'!AG$4</f>
        <v>32000</v>
      </c>
      <c r="M40" s="57">
        <f>M33*($D40/4)*'Staffing Plan'!AH$4</f>
        <v>32500</v>
      </c>
      <c r="N40" s="57">
        <f>N33*($D40/4)*'Staffing Plan'!AI$4</f>
        <v>49500</v>
      </c>
      <c r="O40" s="57">
        <f>O33*($D40/4)*'Staffing Plan'!AJ$4</f>
        <v>67000</v>
      </c>
      <c r="P40" s="57">
        <f>P33*($D40/4)*'Staffing Plan'!AK$4</f>
        <v>85000</v>
      </c>
      <c r="Q40" s="57">
        <f>Q33*($D40/4)*'Staffing Plan'!AL$4</f>
        <v>103500.00000000001</v>
      </c>
      <c r="R40" s="57">
        <f>R33*($D40/4)*'Staffing Plan'!AM$4</f>
        <v>122500.00000000001</v>
      </c>
      <c r="S40" s="57">
        <f>S33*($D40/4)*'Staffing Plan'!AN$4</f>
        <v>142000.00000000003</v>
      </c>
      <c r="T40" s="57">
        <f>T33*($D40/4)*'Staffing Plan'!AO$4</f>
        <v>162000.00000000003</v>
      </c>
    </row>
    <row r="41" spans="1:20" s="64" customFormat="1" x14ac:dyDescent="0.15">
      <c r="A41" s="1"/>
      <c r="B41" s="6"/>
      <c r="C41" s="7"/>
      <c r="D41" s="6"/>
      <c r="E41" s="75">
        <f>SUM(E37:E40)</f>
        <v>115500</v>
      </c>
      <c r="F41" s="75">
        <f t="shared" ref="F41:T41" si="11">SUM(F37:F40)</f>
        <v>115500</v>
      </c>
      <c r="G41" s="75">
        <f t="shared" si="11"/>
        <v>115500</v>
      </c>
      <c r="H41" s="75">
        <f t="shared" si="11"/>
        <v>136500</v>
      </c>
      <c r="I41" s="75">
        <f t="shared" si="11"/>
        <v>175375</v>
      </c>
      <c r="J41" s="75">
        <f t="shared" si="11"/>
        <v>199950</v>
      </c>
      <c r="K41" s="75">
        <f t="shared" si="11"/>
        <v>225225</v>
      </c>
      <c r="L41" s="75">
        <f t="shared" si="11"/>
        <v>267200</v>
      </c>
      <c r="M41" s="75">
        <f t="shared" si="11"/>
        <v>362375</v>
      </c>
      <c r="N41" s="75">
        <f t="shared" si="11"/>
        <v>430650</v>
      </c>
      <c r="O41" s="75">
        <f t="shared" si="11"/>
        <v>594625</v>
      </c>
      <c r="P41" s="75">
        <f t="shared" si="11"/>
        <v>739500</v>
      </c>
      <c r="Q41" s="75">
        <f t="shared" si="11"/>
        <v>936675</v>
      </c>
      <c r="R41" s="75">
        <f t="shared" si="11"/>
        <v>1016750.0000000001</v>
      </c>
      <c r="S41" s="75">
        <f t="shared" si="11"/>
        <v>1098725.0000000002</v>
      </c>
      <c r="T41" s="75">
        <f t="shared" si="11"/>
        <v>1207800.0000000002</v>
      </c>
    </row>
    <row r="42" spans="1:20" s="64" customFormat="1" x14ac:dyDescent="0.15">
      <c r="A42" s="1"/>
      <c r="B42" s="6"/>
      <c r="C42" s="7"/>
      <c r="D42" s="6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</row>
    <row r="43" spans="1:20" x14ac:dyDescent="0.15">
      <c r="B43" s="1" t="s">
        <v>77</v>
      </c>
    </row>
    <row r="44" spans="1:20" x14ac:dyDescent="0.15">
      <c r="C44" s="7" t="s">
        <v>237</v>
      </c>
      <c r="D44" s="5" t="s">
        <v>183</v>
      </c>
      <c r="E44" s="17">
        <f t="shared" ref="E44:T44" si="12">E41</f>
        <v>115500</v>
      </c>
      <c r="F44" s="17">
        <f t="shared" si="12"/>
        <v>115500</v>
      </c>
      <c r="G44" s="17">
        <f t="shared" si="12"/>
        <v>115500</v>
      </c>
      <c r="H44" s="17">
        <f t="shared" si="12"/>
        <v>136500</v>
      </c>
      <c r="I44" s="17">
        <f t="shared" si="12"/>
        <v>175375</v>
      </c>
      <c r="J44" s="17">
        <f t="shared" si="12"/>
        <v>199950</v>
      </c>
      <c r="K44" s="17">
        <f t="shared" si="12"/>
        <v>225225</v>
      </c>
      <c r="L44" s="17">
        <f t="shared" si="12"/>
        <v>267200</v>
      </c>
      <c r="M44" s="17">
        <f t="shared" si="12"/>
        <v>362375</v>
      </c>
      <c r="N44" s="17">
        <f t="shared" si="12"/>
        <v>430650</v>
      </c>
      <c r="O44" s="17">
        <f t="shared" si="12"/>
        <v>594625</v>
      </c>
      <c r="P44" s="17">
        <f t="shared" si="12"/>
        <v>739500</v>
      </c>
      <c r="Q44" s="17">
        <f t="shared" si="12"/>
        <v>936675</v>
      </c>
      <c r="R44" s="17">
        <f t="shared" si="12"/>
        <v>1016750.0000000001</v>
      </c>
      <c r="S44" s="17">
        <f t="shared" si="12"/>
        <v>1098725.0000000002</v>
      </c>
      <c r="T44" s="17">
        <f t="shared" si="12"/>
        <v>1207800.0000000002</v>
      </c>
    </row>
    <row r="45" spans="1:20" x14ac:dyDescent="0.15">
      <c r="C45" s="7" t="s">
        <v>184</v>
      </c>
      <c r="D45" s="5" t="s">
        <v>79</v>
      </c>
      <c r="E45" s="17">
        <f t="shared" ref="E45:T45" si="13">E27</f>
        <v>0</v>
      </c>
      <c r="F45" s="17">
        <f t="shared" si="13"/>
        <v>60000</v>
      </c>
      <c r="G45" s="17">
        <f t="shared" si="13"/>
        <v>144000</v>
      </c>
      <c r="H45" s="17">
        <f t="shared" si="13"/>
        <v>220000</v>
      </c>
      <c r="I45" s="17">
        <f t="shared" si="13"/>
        <v>436500</v>
      </c>
      <c r="J45" s="17">
        <f t="shared" si="13"/>
        <v>488400</v>
      </c>
      <c r="K45" s="17">
        <f t="shared" si="13"/>
        <v>648900</v>
      </c>
      <c r="L45" s="17">
        <f t="shared" si="13"/>
        <v>858000</v>
      </c>
      <c r="M45" s="17">
        <f t="shared" si="13"/>
        <v>1126400</v>
      </c>
      <c r="N45" s="17">
        <f t="shared" si="13"/>
        <v>1339200</v>
      </c>
      <c r="O45" s="17">
        <f t="shared" si="13"/>
        <v>1844000</v>
      </c>
      <c r="P45" s="17">
        <f t="shared" si="13"/>
        <v>2448000</v>
      </c>
      <c r="Q45" s="17">
        <f t="shared" si="13"/>
        <v>2414400</v>
      </c>
      <c r="R45" s="17">
        <f t="shared" si="13"/>
        <v>2792000</v>
      </c>
      <c r="S45" s="17">
        <f t="shared" si="13"/>
        <v>3016000</v>
      </c>
      <c r="T45" s="17">
        <f t="shared" si="13"/>
        <v>3368000</v>
      </c>
    </row>
    <row r="46" spans="1:20" s="10" customFormat="1" x14ac:dyDescent="0.15">
      <c r="A46" s="1"/>
      <c r="B46" s="7"/>
      <c r="C46" s="7" t="s">
        <v>101</v>
      </c>
      <c r="D46" s="5"/>
      <c r="E46" s="76">
        <v>15000</v>
      </c>
      <c r="F46" s="76">
        <v>15000</v>
      </c>
      <c r="G46" s="76">
        <v>15000</v>
      </c>
      <c r="H46" s="76">
        <v>15000</v>
      </c>
      <c r="I46" s="76">
        <v>15000</v>
      </c>
      <c r="J46" s="76">
        <v>15000</v>
      </c>
      <c r="K46" s="76">
        <v>15000</v>
      </c>
      <c r="L46" s="76">
        <v>15000</v>
      </c>
      <c r="M46" s="76">
        <v>30000</v>
      </c>
      <c r="N46" s="76">
        <v>30000</v>
      </c>
      <c r="O46" s="76">
        <v>30000</v>
      </c>
      <c r="P46" s="76">
        <v>30000</v>
      </c>
      <c r="Q46" s="76">
        <v>50000</v>
      </c>
      <c r="R46" s="76">
        <v>50000</v>
      </c>
      <c r="S46" s="76">
        <v>50000</v>
      </c>
      <c r="T46" s="76">
        <v>50000</v>
      </c>
    </row>
    <row r="47" spans="1:20" s="12" customFormat="1" x14ac:dyDescent="0.15">
      <c r="A47" s="1"/>
      <c r="B47" s="7"/>
      <c r="C47" s="7" t="s">
        <v>185</v>
      </c>
      <c r="D47" s="5"/>
      <c r="E47" s="77">
        <f>SUM(E44:E46)</f>
        <v>130500</v>
      </c>
      <c r="F47" s="77">
        <f t="shared" ref="F47:T47" si="14">SUM(F44:F46)</f>
        <v>190500</v>
      </c>
      <c r="G47" s="77">
        <f t="shared" si="14"/>
        <v>274500</v>
      </c>
      <c r="H47" s="77">
        <f t="shared" si="14"/>
        <v>371500</v>
      </c>
      <c r="I47" s="77">
        <f t="shared" si="14"/>
        <v>626875</v>
      </c>
      <c r="J47" s="77">
        <f t="shared" si="14"/>
        <v>703350</v>
      </c>
      <c r="K47" s="77">
        <f t="shared" si="14"/>
        <v>889125</v>
      </c>
      <c r="L47" s="77">
        <f t="shared" si="14"/>
        <v>1140200</v>
      </c>
      <c r="M47" s="77">
        <f t="shared" si="14"/>
        <v>1518775</v>
      </c>
      <c r="N47" s="77">
        <f t="shared" si="14"/>
        <v>1799850</v>
      </c>
      <c r="O47" s="77">
        <f t="shared" si="14"/>
        <v>2468625</v>
      </c>
      <c r="P47" s="77">
        <f t="shared" si="14"/>
        <v>3217500</v>
      </c>
      <c r="Q47" s="77">
        <f t="shared" si="14"/>
        <v>3401075</v>
      </c>
      <c r="R47" s="77">
        <f t="shared" si="14"/>
        <v>3858750</v>
      </c>
      <c r="S47" s="77">
        <f t="shared" si="14"/>
        <v>4164725</v>
      </c>
      <c r="T47" s="77">
        <f t="shared" si="14"/>
        <v>4625800</v>
      </c>
    </row>
    <row r="49" spans="1:20" s="16" customFormat="1" x14ac:dyDescent="0.15">
      <c r="A49" s="1"/>
      <c r="B49" s="2" t="s">
        <v>110</v>
      </c>
      <c r="C49" s="7"/>
      <c r="D49" s="15" t="s">
        <v>43</v>
      </c>
      <c r="E49" s="78">
        <f>'Sales Plan'!E32</f>
        <v>0</v>
      </c>
      <c r="F49" s="78">
        <f>'Sales Plan'!F32</f>
        <v>200000</v>
      </c>
      <c r="G49" s="78">
        <f>'Sales Plan'!G32</f>
        <v>670000</v>
      </c>
      <c r="H49" s="78">
        <f>'Sales Plan'!H32</f>
        <v>1436500</v>
      </c>
      <c r="I49" s="78">
        <f>'Sales Plan'!I32</f>
        <v>2609675</v>
      </c>
      <c r="J49" s="78">
        <f>'Sales Plan'!J32</f>
        <v>4021191.25</v>
      </c>
      <c r="K49" s="78">
        <f>'Sales Plan'!K32</f>
        <v>5939631.6875</v>
      </c>
      <c r="L49" s="78">
        <f>'Sales Plan'!L32</f>
        <v>8432650.1031249985</v>
      </c>
      <c r="M49" s="78">
        <f>'Sales Plan'!M32</f>
        <v>11643017.597968748</v>
      </c>
      <c r="N49" s="78">
        <f>'Sales Plan'!N32</f>
        <v>15356866.71807031</v>
      </c>
      <c r="O49" s="78">
        <f>'Sales Plan'!O32</f>
        <v>20609023.382166795</v>
      </c>
      <c r="P49" s="78">
        <f>'Sales Plan'!P32</f>
        <v>27818572.213058453</v>
      </c>
      <c r="Q49" s="78">
        <f>'Sales Plan'!Q32</f>
        <v>35499643.602405533</v>
      </c>
      <c r="R49" s="78">
        <f>'Sales Plan'!R32</f>
        <v>44684661.422285251</v>
      </c>
      <c r="S49" s="78">
        <f>'Sales Plan'!S32</f>
        <v>54530428.351170987</v>
      </c>
      <c r="T49" s="78">
        <f>'Sales Plan'!T32</f>
        <v>65643906.933612436</v>
      </c>
    </row>
    <row r="50" spans="1:20" ht="39" customHeight="1" x14ac:dyDescent="0.15"/>
    <row r="51" spans="1:20" s="4" customFormat="1" x14ac:dyDescent="0.15">
      <c r="A51" s="1" t="s">
        <v>186</v>
      </c>
      <c r="D51" s="4" t="s">
        <v>131</v>
      </c>
      <c r="E51" s="4" t="s">
        <v>73</v>
      </c>
      <c r="F51" s="4" t="s">
        <v>74</v>
      </c>
      <c r="G51" s="4" t="s">
        <v>75</v>
      </c>
      <c r="H51" s="4" t="s">
        <v>91</v>
      </c>
      <c r="I51" s="4" t="s">
        <v>73</v>
      </c>
      <c r="J51" s="4" t="s">
        <v>74</v>
      </c>
      <c r="K51" s="4" t="s">
        <v>75</v>
      </c>
      <c r="L51" s="4" t="s">
        <v>91</v>
      </c>
      <c r="M51" s="4" t="s">
        <v>73</v>
      </c>
      <c r="N51" s="4" t="s">
        <v>74</v>
      </c>
      <c r="O51" s="4" t="s">
        <v>75</v>
      </c>
      <c r="P51" s="4" t="s">
        <v>91</v>
      </c>
      <c r="Q51" s="4" t="s">
        <v>73</v>
      </c>
      <c r="R51" s="4" t="s">
        <v>74</v>
      </c>
      <c r="S51" s="4" t="s">
        <v>75</v>
      </c>
      <c r="T51" s="4" t="s">
        <v>91</v>
      </c>
    </row>
    <row r="52" spans="1:20" s="4" customFormat="1" x14ac:dyDescent="0.15">
      <c r="E52" s="4" t="s">
        <v>180</v>
      </c>
      <c r="F52" s="4" t="s">
        <v>180</v>
      </c>
      <c r="G52" s="4" t="s">
        <v>180</v>
      </c>
      <c r="H52" s="4" t="s">
        <v>180</v>
      </c>
      <c r="I52" s="4" t="s">
        <v>36</v>
      </c>
      <c r="J52" s="4" t="s">
        <v>36</v>
      </c>
      <c r="K52" s="4" t="s">
        <v>36</v>
      </c>
      <c r="L52" s="4" t="s">
        <v>36</v>
      </c>
      <c r="M52" s="4" t="s">
        <v>37</v>
      </c>
      <c r="N52" s="4" t="s">
        <v>37</v>
      </c>
      <c r="O52" s="4" t="s">
        <v>37</v>
      </c>
      <c r="P52" s="4" t="s">
        <v>37</v>
      </c>
      <c r="Q52" s="4" t="s">
        <v>38</v>
      </c>
      <c r="R52" s="4" t="s">
        <v>38</v>
      </c>
      <c r="S52" s="4" t="s">
        <v>38</v>
      </c>
      <c r="T52" s="4" t="s">
        <v>38</v>
      </c>
    </row>
    <row r="53" spans="1:20" x14ac:dyDescent="0.15">
      <c r="B53" s="1" t="s">
        <v>187</v>
      </c>
    </row>
    <row r="54" spans="1:20" s="10" customFormat="1" x14ac:dyDescent="0.15">
      <c r="A54" s="1"/>
      <c r="B54" s="1"/>
      <c r="C54" s="7" t="s">
        <v>188</v>
      </c>
      <c r="D54" s="5"/>
      <c r="E54" s="70"/>
      <c r="F54" s="70"/>
      <c r="G54" s="70"/>
      <c r="H54" s="70"/>
      <c r="I54" s="70">
        <v>1</v>
      </c>
      <c r="J54" s="70">
        <v>1</v>
      </c>
      <c r="K54" s="70">
        <v>1</v>
      </c>
      <c r="L54" s="70">
        <v>1</v>
      </c>
      <c r="M54" s="70">
        <v>1</v>
      </c>
      <c r="N54" s="70">
        <v>1</v>
      </c>
      <c r="O54" s="70">
        <v>1</v>
      </c>
      <c r="P54" s="70">
        <v>1</v>
      </c>
      <c r="Q54" s="70">
        <v>1</v>
      </c>
      <c r="R54" s="70">
        <v>1</v>
      </c>
      <c r="S54" s="70">
        <v>1</v>
      </c>
      <c r="T54" s="70">
        <v>1</v>
      </c>
    </row>
    <row r="55" spans="1:20" s="10" customFormat="1" x14ac:dyDescent="0.15">
      <c r="A55" s="1"/>
      <c r="B55" s="1"/>
      <c r="C55" s="7" t="s">
        <v>189</v>
      </c>
      <c r="D55" s="5"/>
      <c r="E55" s="70">
        <v>0</v>
      </c>
      <c r="F55" s="70">
        <v>0</v>
      </c>
      <c r="G55" s="70">
        <v>0</v>
      </c>
      <c r="H55" s="70">
        <v>0</v>
      </c>
      <c r="I55" s="70">
        <v>0</v>
      </c>
      <c r="J55" s="70">
        <v>0</v>
      </c>
      <c r="K55" s="70">
        <v>0</v>
      </c>
      <c r="L55" s="70">
        <v>0</v>
      </c>
      <c r="M55" s="70">
        <v>1</v>
      </c>
      <c r="N55" s="70">
        <v>1</v>
      </c>
      <c r="O55" s="70">
        <v>1</v>
      </c>
      <c r="P55" s="70">
        <v>1</v>
      </c>
      <c r="Q55" s="70">
        <v>2</v>
      </c>
      <c r="R55" s="70">
        <v>2</v>
      </c>
      <c r="S55" s="70">
        <v>2</v>
      </c>
      <c r="T55" s="70">
        <v>2</v>
      </c>
    </row>
    <row r="56" spans="1:20" s="10" customFormat="1" x14ac:dyDescent="0.15">
      <c r="A56" s="1"/>
      <c r="B56" s="1"/>
      <c r="C56" s="7" t="s">
        <v>190</v>
      </c>
      <c r="D56" s="74"/>
      <c r="E56" s="70">
        <v>1</v>
      </c>
      <c r="F56" s="70">
        <v>1</v>
      </c>
      <c r="G56" s="70">
        <v>1</v>
      </c>
      <c r="H56" s="70">
        <v>1</v>
      </c>
      <c r="I56" s="70">
        <v>1</v>
      </c>
      <c r="J56" s="70">
        <v>2</v>
      </c>
      <c r="K56" s="70">
        <v>2</v>
      </c>
      <c r="L56" s="70">
        <v>3</v>
      </c>
      <c r="M56" s="70">
        <v>3</v>
      </c>
      <c r="N56" s="70">
        <v>4</v>
      </c>
      <c r="O56" s="70">
        <v>5</v>
      </c>
      <c r="P56" s="70">
        <v>6</v>
      </c>
      <c r="Q56" s="70">
        <v>7</v>
      </c>
      <c r="R56" s="70">
        <v>8</v>
      </c>
      <c r="S56" s="70">
        <v>9</v>
      </c>
      <c r="T56" s="70">
        <v>10</v>
      </c>
    </row>
    <row r="57" spans="1:20" s="10" customFormat="1" x14ac:dyDescent="0.15">
      <c r="A57" s="1"/>
      <c r="B57" s="1"/>
      <c r="C57" s="7" t="s">
        <v>191</v>
      </c>
      <c r="D57" s="5"/>
      <c r="E57" s="72">
        <v>0</v>
      </c>
      <c r="F57" s="72">
        <v>0</v>
      </c>
      <c r="G57" s="72">
        <v>0</v>
      </c>
      <c r="H57" s="72">
        <v>0</v>
      </c>
      <c r="I57" s="72">
        <v>1</v>
      </c>
      <c r="J57" s="72">
        <v>1</v>
      </c>
      <c r="K57" s="72">
        <v>1</v>
      </c>
      <c r="L57" s="72">
        <v>1</v>
      </c>
      <c r="M57" s="72">
        <v>2</v>
      </c>
      <c r="N57" s="72">
        <v>2</v>
      </c>
      <c r="O57" s="72">
        <v>3</v>
      </c>
      <c r="P57" s="72">
        <v>3</v>
      </c>
      <c r="Q57" s="72">
        <v>4</v>
      </c>
      <c r="R57" s="72">
        <v>4</v>
      </c>
      <c r="S57" s="72">
        <v>5</v>
      </c>
      <c r="T57" s="72">
        <v>5</v>
      </c>
    </row>
    <row r="58" spans="1:20" x14ac:dyDescent="0.15">
      <c r="B58" s="1"/>
      <c r="C58" s="7" t="s">
        <v>192</v>
      </c>
      <c r="E58" s="73">
        <f t="shared" ref="E58:T58" si="15">SUM(E54:E57)</f>
        <v>1</v>
      </c>
      <c r="F58" s="73">
        <f t="shared" si="15"/>
        <v>1</v>
      </c>
      <c r="G58" s="73">
        <f t="shared" si="15"/>
        <v>1</v>
      </c>
      <c r="H58" s="73">
        <f t="shared" si="15"/>
        <v>1</v>
      </c>
      <c r="I58" s="73">
        <f t="shared" si="15"/>
        <v>3</v>
      </c>
      <c r="J58" s="73">
        <f t="shared" si="15"/>
        <v>4</v>
      </c>
      <c r="K58" s="73">
        <f t="shared" si="15"/>
        <v>4</v>
      </c>
      <c r="L58" s="73">
        <f t="shared" si="15"/>
        <v>5</v>
      </c>
      <c r="M58" s="73">
        <f t="shared" si="15"/>
        <v>7</v>
      </c>
      <c r="N58" s="73">
        <f t="shared" si="15"/>
        <v>8</v>
      </c>
      <c r="O58" s="73">
        <f t="shared" si="15"/>
        <v>10</v>
      </c>
      <c r="P58" s="73">
        <f t="shared" si="15"/>
        <v>11</v>
      </c>
      <c r="Q58" s="73">
        <f t="shared" si="15"/>
        <v>14</v>
      </c>
      <c r="R58" s="73">
        <f t="shared" si="15"/>
        <v>15</v>
      </c>
      <c r="S58" s="73">
        <f t="shared" si="15"/>
        <v>17</v>
      </c>
      <c r="T58" s="73">
        <f t="shared" si="15"/>
        <v>18</v>
      </c>
    </row>
    <row r="59" spans="1:20" x14ac:dyDescent="0.15">
      <c r="B59" s="1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</row>
    <row r="60" spans="1:20" x14ac:dyDescent="0.15">
      <c r="B60" s="1" t="s">
        <v>193</v>
      </c>
    </row>
    <row r="61" spans="1:20" s="10" customFormat="1" x14ac:dyDescent="0.15">
      <c r="A61" s="1"/>
      <c r="B61" s="7"/>
      <c r="C61" s="7" t="s">
        <v>194</v>
      </c>
      <c r="D61" s="74">
        <v>150000</v>
      </c>
      <c r="E61" s="57">
        <f>E54*($D61/4)*'Staffing Plan'!Z$4</f>
        <v>0</v>
      </c>
      <c r="F61" s="57">
        <f>F54*($D61/4)*'Staffing Plan'!AA$4</f>
        <v>0</v>
      </c>
      <c r="G61" s="57">
        <f>G54*($D61/4)*'Staffing Plan'!AB$4</f>
        <v>0</v>
      </c>
      <c r="H61" s="57">
        <f>H54*($D61/4)*'Staffing Plan'!AC$4</f>
        <v>0</v>
      </c>
      <c r="I61" s="57">
        <f>I54*($D61/4)*'Staffing Plan'!AD$4</f>
        <v>45750</v>
      </c>
      <c r="J61" s="57">
        <f>J54*($D61/4)*'Staffing Plan'!AE$4</f>
        <v>46500</v>
      </c>
      <c r="K61" s="57">
        <f>K54*($D61/4)*'Staffing Plan'!AF$4</f>
        <v>47250</v>
      </c>
      <c r="L61" s="57">
        <f>L54*($D61/4)*'Staffing Plan'!AG$4</f>
        <v>48000</v>
      </c>
      <c r="M61" s="57">
        <f>M54*($D61/4)*'Staffing Plan'!AH$4</f>
        <v>48750</v>
      </c>
      <c r="N61" s="57">
        <f>N54*($D61/4)*'Staffing Plan'!AI$4</f>
        <v>49500</v>
      </c>
      <c r="O61" s="57">
        <f>O54*($D61/4)*'Staffing Plan'!AJ$4</f>
        <v>50250</v>
      </c>
      <c r="P61" s="57">
        <f>P54*($D61/4)*'Staffing Plan'!AK$4</f>
        <v>51000.000000000007</v>
      </c>
      <c r="Q61" s="57">
        <f>Q54*($D61/4)*'Staffing Plan'!AL$4</f>
        <v>51750.000000000007</v>
      </c>
      <c r="R61" s="57">
        <f>R54*($D61/4)*'Staffing Plan'!AM$4</f>
        <v>52500.000000000007</v>
      </c>
      <c r="S61" s="57">
        <f>S54*($D61/4)*'Staffing Plan'!AN$4</f>
        <v>53250.000000000007</v>
      </c>
      <c r="T61" s="57">
        <f>T54*($D61/4)*'Staffing Plan'!AO$4</f>
        <v>54000.000000000007</v>
      </c>
    </row>
    <row r="62" spans="1:20" s="10" customFormat="1" x14ac:dyDescent="0.15">
      <c r="A62" s="1"/>
      <c r="B62" s="7"/>
      <c r="C62" s="7" t="s">
        <v>195</v>
      </c>
      <c r="D62" s="74">
        <v>125000</v>
      </c>
      <c r="E62" s="57">
        <f>E55*($D62/4)*'Staffing Plan'!Z$4</f>
        <v>0</v>
      </c>
      <c r="F62" s="57">
        <f>F55*($D62/4)*'Staffing Plan'!AA$4</f>
        <v>0</v>
      </c>
      <c r="G62" s="57">
        <f>G55*($D62/4)*'Staffing Plan'!AB$4</f>
        <v>0</v>
      </c>
      <c r="H62" s="57">
        <f>H55*($D62/4)*'Staffing Plan'!AC$4</f>
        <v>0</v>
      </c>
      <c r="I62" s="57">
        <f>I55*($D62/4)*'Staffing Plan'!AD$4</f>
        <v>0</v>
      </c>
      <c r="J62" s="57">
        <f>J55*($D62/4)*'Staffing Plan'!AE$4</f>
        <v>0</v>
      </c>
      <c r="K62" s="57">
        <f>K55*($D62/4)*'Staffing Plan'!AF$4</f>
        <v>0</v>
      </c>
      <c r="L62" s="57">
        <f>L55*($D62/4)*'Staffing Plan'!AG$4</f>
        <v>0</v>
      </c>
      <c r="M62" s="57">
        <f>M55*($D62/4)*'Staffing Plan'!AH$4</f>
        <v>40625</v>
      </c>
      <c r="N62" s="57">
        <f>N55*($D62/4)*'Staffing Plan'!AI$4</f>
        <v>41250</v>
      </c>
      <c r="O62" s="57">
        <f>O55*($D62/4)*'Staffing Plan'!AJ$4</f>
        <v>41875</v>
      </c>
      <c r="P62" s="57">
        <f>P55*($D62/4)*'Staffing Plan'!AK$4</f>
        <v>42500</v>
      </c>
      <c r="Q62" s="57">
        <f>Q55*($D62/4)*'Staffing Plan'!AL$4</f>
        <v>86250</v>
      </c>
      <c r="R62" s="57">
        <f>R55*($D62/4)*'Staffing Plan'!AM$4</f>
        <v>87500.000000000015</v>
      </c>
      <c r="S62" s="57">
        <f>S55*($D62/4)*'Staffing Plan'!AN$4</f>
        <v>88750.000000000015</v>
      </c>
      <c r="T62" s="57">
        <f>T55*($D62/4)*'Staffing Plan'!AO$4</f>
        <v>90000.000000000015</v>
      </c>
    </row>
    <row r="63" spans="1:20" s="10" customFormat="1" x14ac:dyDescent="0.15">
      <c r="A63" s="1"/>
      <c r="B63" s="7"/>
      <c r="C63" s="7" t="s">
        <v>196</v>
      </c>
      <c r="D63" s="74">
        <v>80000</v>
      </c>
      <c r="E63" s="57">
        <f>E56*($D63/4)*'Staffing Plan'!Z$4</f>
        <v>24000</v>
      </c>
      <c r="F63" s="57">
        <f>F56*($D63/4)*'Staffing Plan'!AA$4</f>
        <v>24000</v>
      </c>
      <c r="G63" s="57">
        <f>G56*($D63/4)*'Staffing Plan'!AB$4</f>
        <v>24000</v>
      </c>
      <c r="H63" s="57">
        <f>H56*($D63/4)*'Staffing Plan'!AC$4</f>
        <v>24000</v>
      </c>
      <c r="I63" s="57">
        <f>I56*($D63/4)*'Staffing Plan'!AD$4</f>
        <v>24400</v>
      </c>
      <c r="J63" s="57">
        <f>J56*($D63/4)*'Staffing Plan'!AE$4</f>
        <v>49600</v>
      </c>
      <c r="K63" s="57">
        <f>K56*($D63/4)*'Staffing Plan'!AF$4</f>
        <v>50400</v>
      </c>
      <c r="L63" s="57">
        <f>L56*($D63/4)*'Staffing Plan'!AG$4</f>
        <v>76800</v>
      </c>
      <c r="M63" s="57">
        <f>M56*($D63/4)*'Staffing Plan'!AH$4</f>
        <v>78000</v>
      </c>
      <c r="N63" s="57">
        <f>N56*($D63/4)*'Staffing Plan'!AI$4</f>
        <v>105600</v>
      </c>
      <c r="O63" s="57">
        <f>O56*($D63/4)*'Staffing Plan'!AJ$4</f>
        <v>134000</v>
      </c>
      <c r="P63" s="57">
        <f>P56*($D63/4)*'Staffing Plan'!AK$4</f>
        <v>163200</v>
      </c>
      <c r="Q63" s="57">
        <f>Q56*($D63/4)*'Staffing Plan'!AL$4</f>
        <v>193200.00000000003</v>
      </c>
      <c r="R63" s="57">
        <f>R56*($D63/4)*'Staffing Plan'!AM$4</f>
        <v>224000.00000000003</v>
      </c>
      <c r="S63" s="57">
        <f>S56*($D63/4)*'Staffing Plan'!AN$4</f>
        <v>255600.00000000003</v>
      </c>
      <c r="T63" s="57">
        <f>T56*($D63/4)*'Staffing Plan'!AO$4</f>
        <v>288000.00000000006</v>
      </c>
    </row>
    <row r="64" spans="1:20" s="10" customFormat="1" x14ac:dyDescent="0.15">
      <c r="A64" s="1"/>
      <c r="B64" s="7"/>
      <c r="C64" s="7" t="s">
        <v>197</v>
      </c>
      <c r="D64" s="74">
        <v>50000</v>
      </c>
      <c r="E64" s="57">
        <f>E57*($D64/4)*'Staffing Plan'!Z$4</f>
        <v>0</v>
      </c>
      <c r="F64" s="57">
        <f>F57*($D64/4)*'Staffing Plan'!AA$4</f>
        <v>0</v>
      </c>
      <c r="G64" s="57">
        <f>G57*($D64/4)*'Staffing Plan'!AB$4</f>
        <v>0</v>
      </c>
      <c r="H64" s="57">
        <f>H57*($D64/4)*'Staffing Plan'!AC$4</f>
        <v>0</v>
      </c>
      <c r="I64" s="57">
        <f>I57*($D64/4)*'Staffing Plan'!AD$4</f>
        <v>15250</v>
      </c>
      <c r="J64" s="57">
        <f>J57*($D64/4)*'Staffing Plan'!AE$4</f>
        <v>15500</v>
      </c>
      <c r="K64" s="57">
        <f>K57*($D64/4)*'Staffing Plan'!AF$4</f>
        <v>15750</v>
      </c>
      <c r="L64" s="57">
        <f>L57*($D64/4)*'Staffing Plan'!AG$4</f>
        <v>16000</v>
      </c>
      <c r="M64" s="57">
        <f>M57*($D64/4)*'Staffing Plan'!AH$4</f>
        <v>32500</v>
      </c>
      <c r="N64" s="57">
        <f>N57*($D64/4)*'Staffing Plan'!AI$4</f>
        <v>33000</v>
      </c>
      <c r="O64" s="57">
        <f>O57*($D64/4)*'Staffing Plan'!AJ$4</f>
        <v>50250</v>
      </c>
      <c r="P64" s="57">
        <f>P57*($D64/4)*'Staffing Plan'!AK$4</f>
        <v>51000.000000000007</v>
      </c>
      <c r="Q64" s="57">
        <f>Q57*($D64/4)*'Staffing Plan'!AL$4</f>
        <v>69000</v>
      </c>
      <c r="R64" s="57">
        <f>R57*($D64/4)*'Staffing Plan'!AM$4</f>
        <v>70000</v>
      </c>
      <c r="S64" s="57">
        <f>S57*($D64/4)*'Staffing Plan'!AN$4</f>
        <v>88750.000000000015</v>
      </c>
      <c r="T64" s="57">
        <f>T57*($D64/4)*'Staffing Plan'!AO$4</f>
        <v>90000.000000000015</v>
      </c>
    </row>
    <row r="65" spans="1:20" s="64" customFormat="1" x14ac:dyDescent="0.15">
      <c r="A65" s="1"/>
      <c r="B65" s="7"/>
      <c r="C65" s="7" t="s">
        <v>198</v>
      </c>
      <c r="D65" s="6"/>
      <c r="E65" s="75">
        <f t="shared" ref="E65:T65" si="16">SUM(E61:E64)</f>
        <v>24000</v>
      </c>
      <c r="F65" s="75">
        <f t="shared" si="16"/>
        <v>24000</v>
      </c>
      <c r="G65" s="75">
        <f t="shared" si="16"/>
        <v>24000</v>
      </c>
      <c r="H65" s="75">
        <f t="shared" si="16"/>
        <v>24000</v>
      </c>
      <c r="I65" s="75">
        <f t="shared" si="16"/>
        <v>85400</v>
      </c>
      <c r="J65" s="75">
        <f t="shared" si="16"/>
        <v>111600</v>
      </c>
      <c r="K65" s="75">
        <f t="shared" si="16"/>
        <v>113400</v>
      </c>
      <c r="L65" s="75">
        <f t="shared" si="16"/>
        <v>140800</v>
      </c>
      <c r="M65" s="75">
        <f t="shared" si="16"/>
        <v>199875</v>
      </c>
      <c r="N65" s="75">
        <f t="shared" si="16"/>
        <v>229350</v>
      </c>
      <c r="O65" s="75">
        <f t="shared" si="16"/>
        <v>276375</v>
      </c>
      <c r="P65" s="75">
        <f t="shared" si="16"/>
        <v>307700</v>
      </c>
      <c r="Q65" s="75">
        <f t="shared" si="16"/>
        <v>400200</v>
      </c>
      <c r="R65" s="75">
        <f t="shared" si="16"/>
        <v>434000.00000000006</v>
      </c>
      <c r="S65" s="75">
        <f t="shared" si="16"/>
        <v>486350.00000000006</v>
      </c>
      <c r="T65" s="75">
        <f t="shared" si="16"/>
        <v>522000.00000000012</v>
      </c>
    </row>
    <row r="67" spans="1:20" x14ac:dyDescent="0.15">
      <c r="B67" s="1" t="s">
        <v>78</v>
      </c>
    </row>
    <row r="68" spans="1:20" x14ac:dyDescent="0.15">
      <c r="C68" s="7" t="s">
        <v>237</v>
      </c>
      <c r="E68" s="17">
        <f t="shared" ref="E68:T68" si="17">E65</f>
        <v>24000</v>
      </c>
      <c r="F68" s="17">
        <f t="shared" si="17"/>
        <v>24000</v>
      </c>
      <c r="G68" s="17">
        <f t="shared" si="17"/>
        <v>24000</v>
      </c>
      <c r="H68" s="17">
        <f t="shared" si="17"/>
        <v>24000</v>
      </c>
      <c r="I68" s="17">
        <f t="shared" si="17"/>
        <v>85400</v>
      </c>
      <c r="J68" s="17">
        <f t="shared" si="17"/>
        <v>111600</v>
      </c>
      <c r="K68" s="17">
        <f t="shared" si="17"/>
        <v>113400</v>
      </c>
      <c r="L68" s="17">
        <f t="shared" si="17"/>
        <v>140800</v>
      </c>
      <c r="M68" s="17">
        <f t="shared" si="17"/>
        <v>199875</v>
      </c>
      <c r="N68" s="17">
        <f t="shared" si="17"/>
        <v>229350</v>
      </c>
      <c r="O68" s="17">
        <f t="shared" si="17"/>
        <v>276375</v>
      </c>
      <c r="P68" s="17">
        <f t="shared" si="17"/>
        <v>307700</v>
      </c>
      <c r="Q68" s="17">
        <f t="shared" si="17"/>
        <v>400200</v>
      </c>
      <c r="R68" s="17">
        <f t="shared" si="17"/>
        <v>434000.00000000006</v>
      </c>
      <c r="S68" s="17">
        <f t="shared" si="17"/>
        <v>486350.00000000006</v>
      </c>
      <c r="T68" s="17">
        <f t="shared" si="17"/>
        <v>522000.00000000012</v>
      </c>
    </row>
    <row r="69" spans="1:20" x14ac:dyDescent="0.15">
      <c r="C69" s="7" t="s">
        <v>45</v>
      </c>
      <c r="D69" s="79">
        <v>0.01</v>
      </c>
      <c r="E69" s="17">
        <f t="shared" ref="E69:T69" si="18">E49*$D69/4</f>
        <v>0</v>
      </c>
      <c r="F69" s="17">
        <f t="shared" si="18"/>
        <v>500</v>
      </c>
      <c r="G69" s="17">
        <f t="shared" si="18"/>
        <v>1675</v>
      </c>
      <c r="H69" s="17">
        <f t="shared" si="18"/>
        <v>3591.25</v>
      </c>
      <c r="I69" s="17">
        <f t="shared" si="18"/>
        <v>6524.1875</v>
      </c>
      <c r="J69" s="17">
        <f t="shared" si="18"/>
        <v>10052.978125</v>
      </c>
      <c r="K69" s="17">
        <f t="shared" si="18"/>
        <v>14849.079218750001</v>
      </c>
      <c r="L69" s="17">
        <f t="shared" si="18"/>
        <v>21081.625257812495</v>
      </c>
      <c r="M69" s="17">
        <f t="shared" si="18"/>
        <v>29107.543994921871</v>
      </c>
      <c r="N69" s="17">
        <f t="shared" si="18"/>
        <v>38392.166795175777</v>
      </c>
      <c r="O69" s="17">
        <f t="shared" si="18"/>
        <v>51522.558455416991</v>
      </c>
      <c r="P69" s="17">
        <f t="shared" si="18"/>
        <v>69546.430532646133</v>
      </c>
      <c r="Q69" s="17">
        <f t="shared" si="18"/>
        <v>88749.109006013838</v>
      </c>
      <c r="R69" s="17">
        <f t="shared" si="18"/>
        <v>111711.65355571313</v>
      </c>
      <c r="S69" s="17">
        <f t="shared" si="18"/>
        <v>136326.07087792747</v>
      </c>
      <c r="T69" s="17">
        <f t="shared" si="18"/>
        <v>164109.76733403109</v>
      </c>
    </row>
    <row r="70" spans="1:20" s="10" customFormat="1" x14ac:dyDescent="0.15">
      <c r="A70" s="1"/>
      <c r="B70" s="7"/>
      <c r="C70" s="7" t="s">
        <v>44</v>
      </c>
      <c r="D70" s="5"/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</row>
    <row r="71" spans="1:20" s="12" customFormat="1" x14ac:dyDescent="0.15">
      <c r="A71" s="1"/>
      <c r="B71" s="7"/>
      <c r="C71" s="7" t="s">
        <v>231</v>
      </c>
      <c r="D71" s="5"/>
      <c r="E71" s="77">
        <f>SUM(E68:E70)</f>
        <v>24000</v>
      </c>
      <c r="F71" s="77">
        <f t="shared" ref="F71:T71" si="19">SUM(F68:F70)</f>
        <v>24500</v>
      </c>
      <c r="G71" s="77">
        <f t="shared" si="19"/>
        <v>25675</v>
      </c>
      <c r="H71" s="77">
        <f t="shared" si="19"/>
        <v>27591.25</v>
      </c>
      <c r="I71" s="77">
        <f t="shared" si="19"/>
        <v>91924.1875</v>
      </c>
      <c r="J71" s="77">
        <f t="shared" si="19"/>
        <v>121652.97812499999</v>
      </c>
      <c r="K71" s="77">
        <f t="shared" si="19"/>
        <v>128249.07921875</v>
      </c>
      <c r="L71" s="77">
        <f t="shared" si="19"/>
        <v>161881.6252578125</v>
      </c>
      <c r="M71" s="77">
        <f t="shared" si="19"/>
        <v>228982.54399492187</v>
      </c>
      <c r="N71" s="77">
        <f t="shared" si="19"/>
        <v>267742.16679517576</v>
      </c>
      <c r="O71" s="77">
        <f t="shared" si="19"/>
        <v>327897.55845541699</v>
      </c>
      <c r="P71" s="77">
        <f t="shared" si="19"/>
        <v>377246.43053264613</v>
      </c>
      <c r="Q71" s="77">
        <f t="shared" si="19"/>
        <v>488949.10900601384</v>
      </c>
      <c r="R71" s="77">
        <f t="shared" si="19"/>
        <v>545711.65355571313</v>
      </c>
      <c r="S71" s="77">
        <f t="shared" si="19"/>
        <v>622676.07087792759</v>
      </c>
      <c r="T71" s="77">
        <f t="shared" si="19"/>
        <v>686109.76733403117</v>
      </c>
    </row>
    <row r="73" spans="1:20" s="10" customFormat="1" x14ac:dyDescent="0.15">
      <c r="A73" s="1"/>
      <c r="B73" s="1" t="s">
        <v>35</v>
      </c>
      <c r="C73" s="7"/>
      <c r="D73" s="67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</row>
    <row r="74" spans="1:20" s="10" customFormat="1" x14ac:dyDescent="0.15">
      <c r="A74" s="1"/>
      <c r="B74" s="7"/>
      <c r="C74" s="7" t="s">
        <v>46</v>
      </c>
      <c r="D74" s="67"/>
      <c r="E74" s="80">
        <f>E47</f>
        <v>130500</v>
      </c>
      <c r="F74" s="80">
        <f t="shared" ref="F74:T74" si="20">F47</f>
        <v>190500</v>
      </c>
      <c r="G74" s="80">
        <f t="shared" si="20"/>
        <v>274500</v>
      </c>
      <c r="H74" s="80">
        <f t="shared" si="20"/>
        <v>371500</v>
      </c>
      <c r="I74" s="80">
        <f t="shared" si="20"/>
        <v>626875</v>
      </c>
      <c r="J74" s="80">
        <f t="shared" si="20"/>
        <v>703350</v>
      </c>
      <c r="K74" s="80">
        <f t="shared" si="20"/>
        <v>889125</v>
      </c>
      <c r="L74" s="80">
        <f t="shared" si="20"/>
        <v>1140200</v>
      </c>
      <c r="M74" s="80">
        <f t="shared" si="20"/>
        <v>1518775</v>
      </c>
      <c r="N74" s="80">
        <f t="shared" si="20"/>
        <v>1799850</v>
      </c>
      <c r="O74" s="80">
        <f t="shared" si="20"/>
        <v>2468625</v>
      </c>
      <c r="P74" s="80">
        <f t="shared" si="20"/>
        <v>3217500</v>
      </c>
      <c r="Q74" s="80">
        <f t="shared" si="20"/>
        <v>3401075</v>
      </c>
      <c r="R74" s="80">
        <f t="shared" si="20"/>
        <v>3858750</v>
      </c>
      <c r="S74" s="80">
        <f t="shared" si="20"/>
        <v>4164725</v>
      </c>
      <c r="T74" s="80">
        <f t="shared" si="20"/>
        <v>4625800</v>
      </c>
    </row>
    <row r="75" spans="1:20" s="10" customFormat="1" x14ac:dyDescent="0.15">
      <c r="A75" s="1"/>
      <c r="B75" s="7"/>
      <c r="C75" s="7" t="s">
        <v>186</v>
      </c>
      <c r="D75" s="67"/>
      <c r="E75" s="80">
        <f>E71</f>
        <v>24000</v>
      </c>
      <c r="F75" s="80">
        <f t="shared" ref="F75:T75" si="21">F71</f>
        <v>24500</v>
      </c>
      <c r="G75" s="80">
        <f t="shared" si="21"/>
        <v>25675</v>
      </c>
      <c r="H75" s="80">
        <f t="shared" si="21"/>
        <v>27591.25</v>
      </c>
      <c r="I75" s="80">
        <f t="shared" si="21"/>
        <v>91924.1875</v>
      </c>
      <c r="J75" s="80">
        <f t="shared" si="21"/>
        <v>121652.97812499999</v>
      </c>
      <c r="K75" s="80">
        <f t="shared" si="21"/>
        <v>128249.07921875</v>
      </c>
      <c r="L75" s="80">
        <f t="shared" si="21"/>
        <v>161881.6252578125</v>
      </c>
      <c r="M75" s="80">
        <f t="shared" si="21"/>
        <v>228982.54399492187</v>
      </c>
      <c r="N75" s="80">
        <f t="shared" si="21"/>
        <v>267742.16679517576</v>
      </c>
      <c r="O75" s="80">
        <f t="shared" si="21"/>
        <v>327897.55845541699</v>
      </c>
      <c r="P75" s="80">
        <f t="shared" si="21"/>
        <v>377246.43053264613</v>
      </c>
      <c r="Q75" s="80">
        <f t="shared" si="21"/>
        <v>488949.10900601384</v>
      </c>
      <c r="R75" s="80">
        <f t="shared" si="21"/>
        <v>545711.65355571313</v>
      </c>
      <c r="S75" s="80">
        <f t="shared" si="21"/>
        <v>622676.07087792759</v>
      </c>
      <c r="T75" s="80">
        <f t="shared" si="21"/>
        <v>686109.76733403117</v>
      </c>
    </row>
    <row r="76" spans="1:20" s="64" customFormat="1" x14ac:dyDescent="0.15">
      <c r="A76" s="1"/>
      <c r="B76" s="7"/>
      <c r="C76" s="4" t="s">
        <v>9</v>
      </c>
      <c r="D76" s="81"/>
      <c r="E76" s="82">
        <f>SUM(E74:E75)</f>
        <v>154500</v>
      </c>
      <c r="F76" s="82">
        <f t="shared" ref="F76:T76" si="22">SUM(F74:F75)</f>
        <v>215000</v>
      </c>
      <c r="G76" s="82">
        <f t="shared" si="22"/>
        <v>300175</v>
      </c>
      <c r="H76" s="82">
        <f t="shared" si="22"/>
        <v>399091.25</v>
      </c>
      <c r="I76" s="82">
        <f t="shared" si="22"/>
        <v>718799.1875</v>
      </c>
      <c r="J76" s="82">
        <f t="shared" si="22"/>
        <v>825002.97812500002</v>
      </c>
      <c r="K76" s="82">
        <f t="shared" si="22"/>
        <v>1017374.07921875</v>
      </c>
      <c r="L76" s="82">
        <f t="shared" si="22"/>
        <v>1302081.6252578124</v>
      </c>
      <c r="M76" s="82">
        <f t="shared" si="22"/>
        <v>1747757.543994922</v>
      </c>
      <c r="N76" s="82">
        <f t="shared" si="22"/>
        <v>2067592.1667951758</v>
      </c>
      <c r="O76" s="82">
        <f t="shared" si="22"/>
        <v>2796522.5584554169</v>
      </c>
      <c r="P76" s="82">
        <f t="shared" si="22"/>
        <v>3594746.4305326464</v>
      </c>
      <c r="Q76" s="82">
        <f t="shared" si="22"/>
        <v>3890024.1090060137</v>
      </c>
      <c r="R76" s="82">
        <f t="shared" si="22"/>
        <v>4404461.6535557136</v>
      </c>
      <c r="S76" s="82">
        <f t="shared" si="22"/>
        <v>4787401.0708779274</v>
      </c>
      <c r="T76" s="82">
        <f t="shared" si="22"/>
        <v>5311909.7673340309</v>
      </c>
    </row>
  </sheetData>
  <phoneticPr fontId="3" type="noConversion"/>
  <printOptions gridLines="1"/>
  <pageMargins left="0.25" right="0.25" top="1" bottom="1" header="0.5" footer="0.5"/>
  <pageSetup orientation="landscape" horizontalDpi="4294967292" verticalDpi="4294967292"/>
  <headerFooter alignWithMargins="0">
    <oddFooter>&amp;L&amp;K000000Cost of Goods Sold - COGS&amp;C&amp;K000000Page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39"/>
  <sheetViews>
    <sheetView zoomScale="15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8.83203125" defaultRowHeight="13" x14ac:dyDescent="0.15"/>
  <cols>
    <col min="1" max="1" width="5.5" style="1" customWidth="1"/>
    <col min="2" max="2" width="16" style="7" customWidth="1"/>
    <col min="3" max="3" width="9.1640625" style="7" bestFit="1" customWidth="1"/>
    <col min="4" max="4" width="2.5" style="7" customWidth="1"/>
    <col min="5" max="17" width="7" style="53" customWidth="1"/>
    <col min="18" max="20" width="7" style="6" customWidth="1"/>
    <col min="21" max="21" width="5.1640625" style="14" customWidth="1"/>
    <col min="22" max="22" width="3.33203125" style="14" customWidth="1"/>
    <col min="23" max="23" width="14.1640625" style="14" bestFit="1" customWidth="1"/>
    <col min="24" max="24" width="9.33203125" style="6" bestFit="1" customWidth="1"/>
    <col min="25" max="25" width="15" style="6" bestFit="1" customWidth="1"/>
    <col min="26" max="34" width="9.33203125" style="6" bestFit="1" customWidth="1"/>
    <col min="35" max="41" width="10.83203125" style="6" bestFit="1" customWidth="1"/>
    <col min="42" max="16384" width="8.83203125" style="6"/>
  </cols>
  <sheetData>
    <row r="1" spans="1:41" x14ac:dyDescent="0.15">
      <c r="A1" s="1" t="s">
        <v>41</v>
      </c>
      <c r="E1" s="4" t="s">
        <v>199</v>
      </c>
      <c r="F1" s="4" t="s">
        <v>199</v>
      </c>
      <c r="G1" s="4" t="s">
        <v>199</v>
      </c>
      <c r="H1" s="4" t="s">
        <v>199</v>
      </c>
      <c r="I1" s="4" t="s">
        <v>199</v>
      </c>
      <c r="J1" s="4" t="s">
        <v>199</v>
      </c>
      <c r="K1" s="4" t="s">
        <v>199</v>
      </c>
      <c r="L1" s="4" t="s">
        <v>199</v>
      </c>
      <c r="M1" s="4" t="s">
        <v>199</v>
      </c>
      <c r="N1" s="4" t="s">
        <v>199</v>
      </c>
      <c r="O1" s="4" t="s">
        <v>199</v>
      </c>
      <c r="P1" s="4" t="s">
        <v>199</v>
      </c>
      <c r="Q1" s="4" t="s">
        <v>199</v>
      </c>
      <c r="R1" s="4" t="s">
        <v>199</v>
      </c>
      <c r="S1" s="4" t="s">
        <v>199</v>
      </c>
      <c r="T1" s="4" t="s">
        <v>199</v>
      </c>
      <c r="X1" s="7"/>
      <c r="Y1" s="83"/>
      <c r="Z1" s="4" t="s">
        <v>240</v>
      </c>
      <c r="AA1" s="4" t="s">
        <v>240</v>
      </c>
      <c r="AB1" s="4" t="s">
        <v>240</v>
      </c>
      <c r="AC1" s="4" t="s">
        <v>240</v>
      </c>
      <c r="AD1" s="4" t="s">
        <v>240</v>
      </c>
      <c r="AE1" s="4" t="s">
        <v>240</v>
      </c>
      <c r="AF1" s="4" t="s">
        <v>240</v>
      </c>
      <c r="AG1" s="4" t="s">
        <v>240</v>
      </c>
      <c r="AH1" s="4" t="s">
        <v>240</v>
      </c>
      <c r="AI1" s="4" t="s">
        <v>240</v>
      </c>
      <c r="AJ1" s="4" t="s">
        <v>240</v>
      </c>
      <c r="AK1" s="4" t="s">
        <v>240</v>
      </c>
      <c r="AL1" s="4" t="s">
        <v>240</v>
      </c>
      <c r="AM1" s="4" t="s">
        <v>240</v>
      </c>
      <c r="AN1" s="4" t="s">
        <v>240</v>
      </c>
      <c r="AO1" s="4" t="s">
        <v>240</v>
      </c>
    </row>
    <row r="2" spans="1:41" s="4" customFormat="1" x14ac:dyDescent="0.15">
      <c r="E2" s="4" t="s">
        <v>73</v>
      </c>
      <c r="F2" s="4" t="s">
        <v>74</v>
      </c>
      <c r="G2" s="4" t="s">
        <v>75</v>
      </c>
      <c r="H2" s="4" t="s">
        <v>91</v>
      </c>
      <c r="I2" s="4" t="s">
        <v>73</v>
      </c>
      <c r="J2" s="4" t="s">
        <v>74</v>
      </c>
      <c r="K2" s="4" t="s">
        <v>75</v>
      </c>
      <c r="L2" s="4" t="s">
        <v>91</v>
      </c>
      <c r="M2" s="4" t="s">
        <v>73</v>
      </c>
      <c r="N2" s="4" t="s">
        <v>74</v>
      </c>
      <c r="O2" s="4" t="s">
        <v>75</v>
      </c>
      <c r="P2" s="4" t="s">
        <v>91</v>
      </c>
      <c r="Q2" s="4" t="s">
        <v>73</v>
      </c>
      <c r="R2" s="4" t="s">
        <v>74</v>
      </c>
      <c r="S2" s="4" t="s">
        <v>75</v>
      </c>
      <c r="T2" s="4" t="s">
        <v>91</v>
      </c>
      <c r="X2" s="83" t="s">
        <v>241</v>
      </c>
      <c r="Z2" s="4" t="s">
        <v>73</v>
      </c>
      <c r="AA2" s="4" t="s">
        <v>74</v>
      </c>
      <c r="AB2" s="4" t="s">
        <v>75</v>
      </c>
      <c r="AC2" s="4" t="s">
        <v>91</v>
      </c>
      <c r="AD2" s="4" t="s">
        <v>73</v>
      </c>
      <c r="AE2" s="4" t="s">
        <v>74</v>
      </c>
      <c r="AF2" s="4" t="s">
        <v>75</v>
      </c>
      <c r="AG2" s="4" t="s">
        <v>91</v>
      </c>
      <c r="AH2" s="4" t="s">
        <v>73</v>
      </c>
      <c r="AI2" s="4" t="s">
        <v>74</v>
      </c>
      <c r="AJ2" s="4" t="s">
        <v>75</v>
      </c>
      <c r="AK2" s="4" t="s">
        <v>91</v>
      </c>
      <c r="AL2" s="4" t="s">
        <v>73</v>
      </c>
      <c r="AM2" s="4" t="s">
        <v>74</v>
      </c>
      <c r="AN2" s="4" t="s">
        <v>75</v>
      </c>
      <c r="AO2" s="4" t="s">
        <v>91</v>
      </c>
    </row>
    <row r="3" spans="1:41" s="4" customFormat="1" x14ac:dyDescent="0.15">
      <c r="E3" s="4" t="s">
        <v>180</v>
      </c>
      <c r="F3" s="4" t="s">
        <v>180</v>
      </c>
      <c r="G3" s="4" t="s">
        <v>180</v>
      </c>
      <c r="H3" s="4" t="s">
        <v>180</v>
      </c>
      <c r="I3" s="4" t="s">
        <v>36</v>
      </c>
      <c r="J3" s="4" t="s">
        <v>36</v>
      </c>
      <c r="K3" s="4" t="s">
        <v>36</v>
      </c>
      <c r="L3" s="4" t="s">
        <v>36</v>
      </c>
      <c r="M3" s="4" t="s">
        <v>37</v>
      </c>
      <c r="N3" s="4" t="s">
        <v>37</v>
      </c>
      <c r="O3" s="4" t="s">
        <v>37</v>
      </c>
      <c r="P3" s="4" t="s">
        <v>37</v>
      </c>
      <c r="Q3" s="4" t="s">
        <v>38</v>
      </c>
      <c r="R3" s="4" t="s">
        <v>38</v>
      </c>
      <c r="S3" s="4" t="s">
        <v>38</v>
      </c>
      <c r="T3" s="4" t="s">
        <v>38</v>
      </c>
      <c r="X3" s="83" t="s">
        <v>242</v>
      </c>
      <c r="Z3" s="4" t="s">
        <v>180</v>
      </c>
      <c r="AA3" s="4" t="s">
        <v>180</v>
      </c>
      <c r="AB3" s="4" t="s">
        <v>180</v>
      </c>
      <c r="AC3" s="4" t="s">
        <v>180</v>
      </c>
      <c r="AD3" s="4" t="s">
        <v>36</v>
      </c>
      <c r="AE3" s="4" t="s">
        <v>36</v>
      </c>
      <c r="AF3" s="4" t="s">
        <v>36</v>
      </c>
      <c r="AG3" s="4" t="s">
        <v>36</v>
      </c>
      <c r="AH3" s="4" t="s">
        <v>37</v>
      </c>
      <c r="AI3" s="4" t="s">
        <v>37</v>
      </c>
      <c r="AJ3" s="4" t="s">
        <v>37</v>
      </c>
      <c r="AK3" s="4" t="s">
        <v>37</v>
      </c>
      <c r="AL3" s="4" t="s">
        <v>38</v>
      </c>
      <c r="AM3" s="4" t="s">
        <v>38</v>
      </c>
      <c r="AN3" s="4" t="s">
        <v>38</v>
      </c>
      <c r="AO3" s="4" t="s">
        <v>38</v>
      </c>
    </row>
    <row r="4" spans="1:41" s="4" customFormat="1" x14ac:dyDescent="0.15">
      <c r="X4" s="7"/>
      <c r="Y4" s="4" t="s">
        <v>243</v>
      </c>
      <c r="Z4" s="84">
        <v>1.2</v>
      </c>
      <c r="AA4" s="84">
        <v>1.2</v>
      </c>
      <c r="AB4" s="84">
        <v>1.2</v>
      </c>
      <c r="AC4" s="84">
        <v>1.2</v>
      </c>
      <c r="AD4" s="84">
        <f t="shared" ref="AD4:AO4" si="0">AC4+0.02</f>
        <v>1.22</v>
      </c>
      <c r="AE4" s="84">
        <f t="shared" si="0"/>
        <v>1.24</v>
      </c>
      <c r="AF4" s="84">
        <f t="shared" si="0"/>
        <v>1.26</v>
      </c>
      <c r="AG4" s="84">
        <f t="shared" si="0"/>
        <v>1.28</v>
      </c>
      <c r="AH4" s="84">
        <f t="shared" si="0"/>
        <v>1.3</v>
      </c>
      <c r="AI4" s="84">
        <f t="shared" si="0"/>
        <v>1.32</v>
      </c>
      <c r="AJ4" s="84">
        <f t="shared" si="0"/>
        <v>1.34</v>
      </c>
      <c r="AK4" s="84">
        <f t="shared" si="0"/>
        <v>1.36</v>
      </c>
      <c r="AL4" s="84">
        <f t="shared" si="0"/>
        <v>1.3800000000000001</v>
      </c>
      <c r="AM4" s="84">
        <f t="shared" si="0"/>
        <v>1.4000000000000001</v>
      </c>
      <c r="AN4" s="84">
        <f t="shared" si="0"/>
        <v>1.4200000000000002</v>
      </c>
      <c r="AO4" s="84">
        <f t="shared" si="0"/>
        <v>1.4400000000000002</v>
      </c>
    </row>
    <row r="5" spans="1:41" x14ac:dyDescent="0.15">
      <c r="A5" s="1" t="s">
        <v>233</v>
      </c>
      <c r="V5" s="1" t="s">
        <v>10</v>
      </c>
      <c r="W5" s="7"/>
      <c r="X5" s="14"/>
    </row>
    <row r="6" spans="1:41" s="10" customFormat="1" x14ac:dyDescent="0.15">
      <c r="A6" s="1"/>
      <c r="B6" s="7" t="s">
        <v>11</v>
      </c>
      <c r="C6" s="52" t="s">
        <v>34</v>
      </c>
      <c r="D6" s="52"/>
      <c r="E6" s="85">
        <v>1</v>
      </c>
      <c r="F6" s="85">
        <v>1</v>
      </c>
      <c r="G6" s="85">
        <v>1</v>
      </c>
      <c r="H6" s="85">
        <v>1</v>
      </c>
      <c r="I6" s="85">
        <v>1</v>
      </c>
      <c r="J6" s="85">
        <v>1</v>
      </c>
      <c r="K6" s="85">
        <v>1</v>
      </c>
      <c r="L6" s="85">
        <v>1</v>
      </c>
      <c r="M6" s="85">
        <v>1</v>
      </c>
      <c r="N6" s="85">
        <v>1</v>
      </c>
      <c r="O6" s="85">
        <v>1</v>
      </c>
      <c r="P6" s="85">
        <v>1</v>
      </c>
      <c r="Q6" s="85">
        <v>1</v>
      </c>
      <c r="R6" s="85">
        <v>1</v>
      </c>
      <c r="S6" s="85">
        <v>1</v>
      </c>
      <c r="T6" s="85">
        <v>1</v>
      </c>
      <c r="U6" s="9"/>
      <c r="V6" s="1"/>
      <c r="W6" s="7" t="s">
        <v>11</v>
      </c>
      <c r="X6" s="74">
        <v>225000</v>
      </c>
      <c r="Y6" s="51"/>
      <c r="Z6" s="57">
        <f t="shared" ref="Z6:AM11" si="1">E6*($X6/4)*Z$4</f>
        <v>67500</v>
      </c>
      <c r="AA6" s="57">
        <f t="shared" si="1"/>
        <v>67500</v>
      </c>
      <c r="AB6" s="57">
        <f t="shared" si="1"/>
        <v>67500</v>
      </c>
      <c r="AC6" s="57">
        <f t="shared" si="1"/>
        <v>67500</v>
      </c>
      <c r="AD6" s="57">
        <f t="shared" si="1"/>
        <v>68625</v>
      </c>
      <c r="AE6" s="57">
        <f t="shared" si="1"/>
        <v>69750</v>
      </c>
      <c r="AF6" s="57">
        <f t="shared" si="1"/>
        <v>70875</v>
      </c>
      <c r="AG6" s="57">
        <f t="shared" si="1"/>
        <v>72000</v>
      </c>
      <c r="AH6" s="57">
        <f t="shared" si="1"/>
        <v>73125</v>
      </c>
      <c r="AI6" s="57">
        <f t="shared" si="1"/>
        <v>74250</v>
      </c>
      <c r="AJ6" s="57">
        <f t="shared" si="1"/>
        <v>75375</v>
      </c>
      <c r="AK6" s="57">
        <f t="shared" si="1"/>
        <v>76500</v>
      </c>
      <c r="AL6" s="57">
        <f t="shared" si="1"/>
        <v>77625</v>
      </c>
      <c r="AM6" s="57">
        <f t="shared" si="1"/>
        <v>78750.000000000015</v>
      </c>
      <c r="AN6" s="57">
        <f t="shared" ref="AN6:AN11" si="2">S6*($X6/4)*AN$4</f>
        <v>79875.000000000015</v>
      </c>
      <c r="AO6" s="57">
        <f t="shared" ref="AO6:AO11" si="3">T6*($X6/4)*AO$4</f>
        <v>81000.000000000015</v>
      </c>
    </row>
    <row r="7" spans="1:41" s="10" customFormat="1" x14ac:dyDescent="0.15">
      <c r="A7" s="1"/>
      <c r="B7" s="7" t="s">
        <v>200</v>
      </c>
      <c r="C7" s="52" t="s">
        <v>34</v>
      </c>
      <c r="D7" s="52"/>
      <c r="E7" s="85"/>
      <c r="F7" s="85"/>
      <c r="G7" s="85"/>
      <c r="H7" s="85"/>
      <c r="I7" s="85">
        <v>1</v>
      </c>
      <c r="J7" s="85">
        <v>1</v>
      </c>
      <c r="K7" s="85">
        <v>1</v>
      </c>
      <c r="L7" s="85">
        <v>1</v>
      </c>
      <c r="M7" s="85">
        <v>1</v>
      </c>
      <c r="N7" s="85">
        <v>1</v>
      </c>
      <c r="O7" s="85">
        <v>1</v>
      </c>
      <c r="P7" s="85">
        <v>1</v>
      </c>
      <c r="Q7" s="85">
        <v>1</v>
      </c>
      <c r="R7" s="85">
        <v>1</v>
      </c>
      <c r="S7" s="85">
        <v>1</v>
      </c>
      <c r="T7" s="85">
        <v>1</v>
      </c>
      <c r="U7" s="9"/>
      <c r="V7" s="1"/>
      <c r="W7" s="7" t="s">
        <v>200</v>
      </c>
      <c r="X7" s="74">
        <v>200000</v>
      </c>
      <c r="Y7" s="51"/>
      <c r="Z7" s="57">
        <f t="shared" si="1"/>
        <v>0</v>
      </c>
      <c r="AA7" s="57">
        <f t="shared" si="1"/>
        <v>0</v>
      </c>
      <c r="AB7" s="57">
        <f t="shared" si="1"/>
        <v>0</v>
      </c>
      <c r="AC7" s="57">
        <f t="shared" si="1"/>
        <v>0</v>
      </c>
      <c r="AD7" s="57">
        <f t="shared" si="1"/>
        <v>61000</v>
      </c>
      <c r="AE7" s="57">
        <f t="shared" si="1"/>
        <v>62000</v>
      </c>
      <c r="AF7" s="57">
        <f t="shared" si="1"/>
        <v>63000</v>
      </c>
      <c r="AG7" s="57">
        <f t="shared" si="1"/>
        <v>64000</v>
      </c>
      <c r="AH7" s="57">
        <f t="shared" si="1"/>
        <v>65000</v>
      </c>
      <c r="AI7" s="57">
        <f t="shared" si="1"/>
        <v>66000</v>
      </c>
      <c r="AJ7" s="57">
        <f t="shared" si="1"/>
        <v>67000</v>
      </c>
      <c r="AK7" s="57">
        <f t="shared" si="1"/>
        <v>68000</v>
      </c>
      <c r="AL7" s="57">
        <f t="shared" si="1"/>
        <v>69000</v>
      </c>
      <c r="AM7" s="57">
        <f t="shared" si="1"/>
        <v>70000</v>
      </c>
      <c r="AN7" s="57">
        <f t="shared" si="2"/>
        <v>71000.000000000015</v>
      </c>
      <c r="AO7" s="57">
        <f t="shared" si="3"/>
        <v>72000.000000000015</v>
      </c>
    </row>
    <row r="8" spans="1:41" s="10" customFormat="1" x14ac:dyDescent="0.15">
      <c r="A8" s="1"/>
      <c r="B8" s="7" t="s">
        <v>201</v>
      </c>
      <c r="C8" s="52" t="s">
        <v>34</v>
      </c>
      <c r="D8" s="52"/>
      <c r="E8" s="85">
        <f t="shared" ref="E8:J8" si="4">MAX(1,(1+INT(E9/8)))</f>
        <v>1</v>
      </c>
      <c r="F8" s="85">
        <f t="shared" si="4"/>
        <v>1</v>
      </c>
      <c r="G8" s="85">
        <f t="shared" si="4"/>
        <v>1</v>
      </c>
      <c r="H8" s="85">
        <v>1</v>
      </c>
      <c r="I8" s="85">
        <f t="shared" si="4"/>
        <v>2</v>
      </c>
      <c r="J8" s="85">
        <f t="shared" si="4"/>
        <v>2</v>
      </c>
      <c r="K8" s="85">
        <v>2</v>
      </c>
      <c r="L8" s="85">
        <v>2</v>
      </c>
      <c r="M8" s="85">
        <v>2</v>
      </c>
      <c r="N8" s="85">
        <v>3</v>
      </c>
      <c r="O8" s="85">
        <v>3</v>
      </c>
      <c r="P8" s="85">
        <v>3</v>
      </c>
      <c r="Q8" s="85">
        <v>3</v>
      </c>
      <c r="R8" s="85">
        <v>4</v>
      </c>
      <c r="S8" s="85">
        <v>4</v>
      </c>
      <c r="T8" s="85">
        <v>4</v>
      </c>
      <c r="U8" s="9"/>
      <c r="V8" s="1"/>
      <c r="W8" s="7" t="s">
        <v>201</v>
      </c>
      <c r="X8" s="74">
        <v>150000</v>
      </c>
      <c r="Y8" s="51"/>
      <c r="Z8" s="57">
        <f t="shared" si="1"/>
        <v>45000</v>
      </c>
      <c r="AA8" s="57">
        <f t="shared" si="1"/>
        <v>45000</v>
      </c>
      <c r="AB8" s="57">
        <f t="shared" si="1"/>
        <v>45000</v>
      </c>
      <c r="AC8" s="57">
        <f t="shared" si="1"/>
        <v>45000</v>
      </c>
      <c r="AD8" s="57">
        <f t="shared" si="1"/>
        <v>91500</v>
      </c>
      <c r="AE8" s="57">
        <f t="shared" si="1"/>
        <v>93000</v>
      </c>
      <c r="AF8" s="57">
        <f t="shared" si="1"/>
        <v>94500</v>
      </c>
      <c r="AG8" s="57">
        <f t="shared" si="1"/>
        <v>96000</v>
      </c>
      <c r="AH8" s="57">
        <f t="shared" si="1"/>
        <v>97500</v>
      </c>
      <c r="AI8" s="57">
        <f t="shared" si="1"/>
        <v>148500</v>
      </c>
      <c r="AJ8" s="57">
        <f t="shared" si="1"/>
        <v>150750</v>
      </c>
      <c r="AK8" s="57">
        <f t="shared" si="1"/>
        <v>153000</v>
      </c>
      <c r="AL8" s="57">
        <f t="shared" si="1"/>
        <v>155250</v>
      </c>
      <c r="AM8" s="57">
        <f t="shared" si="1"/>
        <v>210000.00000000003</v>
      </c>
      <c r="AN8" s="57">
        <f t="shared" si="2"/>
        <v>213000.00000000003</v>
      </c>
      <c r="AO8" s="57">
        <f t="shared" si="3"/>
        <v>216000.00000000003</v>
      </c>
    </row>
    <row r="9" spans="1:41" s="10" customFormat="1" x14ac:dyDescent="0.15">
      <c r="A9" s="1"/>
      <c r="B9" s="7" t="s">
        <v>13</v>
      </c>
      <c r="C9" s="52" t="s">
        <v>34</v>
      </c>
      <c r="D9" s="52"/>
      <c r="E9" s="85">
        <v>4</v>
      </c>
      <c r="F9" s="85">
        <v>4</v>
      </c>
      <c r="G9" s="85">
        <v>5</v>
      </c>
      <c r="H9" s="85">
        <v>6</v>
      </c>
      <c r="I9" s="85">
        <v>8</v>
      </c>
      <c r="J9" s="85">
        <v>10</v>
      </c>
      <c r="K9" s="85">
        <v>12</v>
      </c>
      <c r="L9" s="85">
        <v>14</v>
      </c>
      <c r="M9" s="85">
        <v>16</v>
      </c>
      <c r="N9" s="85">
        <v>16</v>
      </c>
      <c r="O9" s="85">
        <v>18</v>
      </c>
      <c r="P9" s="85">
        <v>18</v>
      </c>
      <c r="Q9" s="85">
        <v>20</v>
      </c>
      <c r="R9" s="85">
        <v>22</v>
      </c>
      <c r="S9" s="85">
        <v>24</v>
      </c>
      <c r="T9" s="85">
        <v>26</v>
      </c>
      <c r="U9" s="9"/>
      <c r="V9" s="1"/>
      <c r="W9" s="7" t="s">
        <v>13</v>
      </c>
      <c r="X9" s="74">
        <v>125000</v>
      </c>
      <c r="Y9" s="51"/>
      <c r="Z9" s="57">
        <f t="shared" si="1"/>
        <v>150000</v>
      </c>
      <c r="AA9" s="57">
        <f t="shared" si="1"/>
        <v>150000</v>
      </c>
      <c r="AB9" s="57">
        <f t="shared" si="1"/>
        <v>187500</v>
      </c>
      <c r="AC9" s="57">
        <f t="shared" si="1"/>
        <v>225000</v>
      </c>
      <c r="AD9" s="57">
        <f t="shared" si="1"/>
        <v>305000</v>
      </c>
      <c r="AE9" s="57">
        <f t="shared" si="1"/>
        <v>387500</v>
      </c>
      <c r="AF9" s="57">
        <f t="shared" si="1"/>
        <v>472500</v>
      </c>
      <c r="AG9" s="57">
        <f t="shared" si="1"/>
        <v>560000</v>
      </c>
      <c r="AH9" s="57">
        <f t="shared" si="1"/>
        <v>650000</v>
      </c>
      <c r="AI9" s="57">
        <f t="shared" si="1"/>
        <v>660000</v>
      </c>
      <c r="AJ9" s="57">
        <f t="shared" si="1"/>
        <v>753750</v>
      </c>
      <c r="AK9" s="57">
        <f t="shared" si="1"/>
        <v>765000</v>
      </c>
      <c r="AL9" s="57">
        <f t="shared" si="1"/>
        <v>862500.00000000012</v>
      </c>
      <c r="AM9" s="57">
        <f t="shared" si="1"/>
        <v>962500.00000000012</v>
      </c>
      <c r="AN9" s="57">
        <f t="shared" si="2"/>
        <v>1065000</v>
      </c>
      <c r="AO9" s="57">
        <f t="shared" si="3"/>
        <v>1170000.0000000002</v>
      </c>
    </row>
    <row r="10" spans="1:41" s="10" customFormat="1" x14ac:dyDescent="0.15">
      <c r="A10" s="1"/>
      <c r="B10" s="7" t="s">
        <v>111</v>
      </c>
      <c r="C10" s="52" t="s">
        <v>34</v>
      </c>
      <c r="D10" s="52"/>
      <c r="E10" s="85">
        <v>0</v>
      </c>
      <c r="F10" s="85">
        <v>1</v>
      </c>
      <c r="G10" s="85">
        <v>1</v>
      </c>
      <c r="H10" s="85">
        <v>2</v>
      </c>
      <c r="I10" s="85">
        <v>2</v>
      </c>
      <c r="J10" s="85">
        <v>3</v>
      </c>
      <c r="K10" s="85">
        <v>3</v>
      </c>
      <c r="L10" s="85">
        <v>3</v>
      </c>
      <c r="M10" s="85">
        <v>3</v>
      </c>
      <c r="N10" s="85">
        <v>3</v>
      </c>
      <c r="O10" s="85">
        <v>4</v>
      </c>
      <c r="P10" s="85">
        <v>4</v>
      </c>
      <c r="Q10" s="85">
        <v>4</v>
      </c>
      <c r="R10" s="85">
        <v>4</v>
      </c>
      <c r="S10" s="85">
        <v>5</v>
      </c>
      <c r="T10" s="85">
        <v>5</v>
      </c>
      <c r="U10" s="9"/>
      <c r="V10" s="1"/>
      <c r="W10" s="7" t="s">
        <v>111</v>
      </c>
      <c r="X10" s="74">
        <v>60000</v>
      </c>
      <c r="Y10" s="51"/>
      <c r="Z10" s="57">
        <f t="shared" si="1"/>
        <v>0</v>
      </c>
      <c r="AA10" s="57">
        <f t="shared" si="1"/>
        <v>18000</v>
      </c>
      <c r="AB10" s="57">
        <f t="shared" si="1"/>
        <v>18000</v>
      </c>
      <c r="AC10" s="57">
        <f t="shared" si="1"/>
        <v>36000</v>
      </c>
      <c r="AD10" s="57">
        <f t="shared" si="1"/>
        <v>36600</v>
      </c>
      <c r="AE10" s="57">
        <f t="shared" si="1"/>
        <v>55800</v>
      </c>
      <c r="AF10" s="57">
        <f t="shared" si="1"/>
        <v>56700</v>
      </c>
      <c r="AG10" s="57">
        <f t="shared" si="1"/>
        <v>57600</v>
      </c>
      <c r="AH10" s="57">
        <f t="shared" si="1"/>
        <v>58500</v>
      </c>
      <c r="AI10" s="57">
        <f t="shared" si="1"/>
        <v>59400</v>
      </c>
      <c r="AJ10" s="57">
        <f t="shared" si="1"/>
        <v>80400</v>
      </c>
      <c r="AK10" s="57">
        <f t="shared" si="1"/>
        <v>81600</v>
      </c>
      <c r="AL10" s="57">
        <f t="shared" si="1"/>
        <v>82800</v>
      </c>
      <c r="AM10" s="57">
        <f t="shared" si="1"/>
        <v>84000.000000000015</v>
      </c>
      <c r="AN10" s="57">
        <f t="shared" si="2"/>
        <v>106500.00000000001</v>
      </c>
      <c r="AO10" s="57">
        <f t="shared" si="3"/>
        <v>108000.00000000001</v>
      </c>
    </row>
    <row r="11" spans="1:41" s="10" customFormat="1" x14ac:dyDescent="0.15">
      <c r="A11" s="1"/>
      <c r="B11" s="7" t="s">
        <v>39</v>
      </c>
      <c r="C11" s="52" t="s">
        <v>34</v>
      </c>
      <c r="D11" s="52"/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9"/>
      <c r="V11" s="1"/>
      <c r="W11" s="7" t="s">
        <v>39</v>
      </c>
      <c r="X11" s="74">
        <v>80000</v>
      </c>
      <c r="Y11" s="51"/>
      <c r="Z11" s="57">
        <f t="shared" si="1"/>
        <v>0</v>
      </c>
      <c r="AA11" s="57">
        <f t="shared" si="1"/>
        <v>0</v>
      </c>
      <c r="AB11" s="57">
        <f t="shared" si="1"/>
        <v>0</v>
      </c>
      <c r="AC11" s="57">
        <f t="shared" si="1"/>
        <v>0</v>
      </c>
      <c r="AD11" s="57">
        <f t="shared" si="1"/>
        <v>0</v>
      </c>
      <c r="AE11" s="57">
        <f t="shared" si="1"/>
        <v>0</v>
      </c>
      <c r="AF11" s="57">
        <f t="shared" si="1"/>
        <v>0</v>
      </c>
      <c r="AG11" s="57">
        <f t="shared" si="1"/>
        <v>0</v>
      </c>
      <c r="AH11" s="57">
        <f t="shared" si="1"/>
        <v>0</v>
      </c>
      <c r="AI11" s="57">
        <f t="shared" si="1"/>
        <v>0</v>
      </c>
      <c r="AJ11" s="57">
        <f t="shared" si="1"/>
        <v>0</v>
      </c>
      <c r="AK11" s="57">
        <f t="shared" si="1"/>
        <v>0</v>
      </c>
      <c r="AL11" s="57">
        <f t="shared" si="1"/>
        <v>0</v>
      </c>
      <c r="AM11" s="57">
        <f t="shared" si="1"/>
        <v>0</v>
      </c>
      <c r="AN11" s="57">
        <f t="shared" si="2"/>
        <v>0</v>
      </c>
      <c r="AO11" s="57">
        <f t="shared" si="3"/>
        <v>0</v>
      </c>
    </row>
    <row r="12" spans="1:41" s="1" customFormat="1" x14ac:dyDescent="0.15">
      <c r="B12" s="4" t="s">
        <v>112</v>
      </c>
      <c r="C12" s="4"/>
      <c r="D12" s="4"/>
      <c r="E12" s="87">
        <f t="shared" ref="E12:T12" si="5">SUM(E6:E11)</f>
        <v>6</v>
      </c>
      <c r="F12" s="87">
        <f t="shared" si="5"/>
        <v>7</v>
      </c>
      <c r="G12" s="87">
        <f t="shared" si="5"/>
        <v>8</v>
      </c>
      <c r="H12" s="87">
        <f t="shared" si="5"/>
        <v>10</v>
      </c>
      <c r="I12" s="87">
        <f t="shared" si="5"/>
        <v>14</v>
      </c>
      <c r="J12" s="87">
        <f t="shared" si="5"/>
        <v>17</v>
      </c>
      <c r="K12" s="87">
        <f t="shared" si="5"/>
        <v>19</v>
      </c>
      <c r="L12" s="87">
        <f t="shared" si="5"/>
        <v>21</v>
      </c>
      <c r="M12" s="87">
        <f t="shared" si="5"/>
        <v>23</v>
      </c>
      <c r="N12" s="87">
        <f t="shared" si="5"/>
        <v>24</v>
      </c>
      <c r="O12" s="87">
        <f t="shared" si="5"/>
        <v>27</v>
      </c>
      <c r="P12" s="87">
        <f t="shared" si="5"/>
        <v>27</v>
      </c>
      <c r="Q12" s="87">
        <f t="shared" si="5"/>
        <v>29</v>
      </c>
      <c r="R12" s="87">
        <f t="shared" si="5"/>
        <v>32</v>
      </c>
      <c r="S12" s="87">
        <f t="shared" si="5"/>
        <v>35</v>
      </c>
      <c r="T12" s="87">
        <f t="shared" si="5"/>
        <v>37</v>
      </c>
      <c r="W12" s="4" t="s">
        <v>112</v>
      </c>
      <c r="X12" s="39"/>
      <c r="Y12" s="88" t="s">
        <v>244</v>
      </c>
      <c r="Z12" s="89">
        <f>SUM(Z6:Z11)</f>
        <v>262500</v>
      </c>
      <c r="AA12" s="89">
        <f t="shared" ref="AA12:AO12" si="6">SUM(AA6:AA11)</f>
        <v>280500</v>
      </c>
      <c r="AB12" s="89">
        <f t="shared" si="6"/>
        <v>318000</v>
      </c>
      <c r="AC12" s="89">
        <f t="shared" si="6"/>
        <v>373500</v>
      </c>
      <c r="AD12" s="89">
        <f t="shared" si="6"/>
        <v>562725</v>
      </c>
      <c r="AE12" s="89">
        <f t="shared" si="6"/>
        <v>668050</v>
      </c>
      <c r="AF12" s="89">
        <f t="shared" si="6"/>
        <v>757575</v>
      </c>
      <c r="AG12" s="89">
        <f t="shared" si="6"/>
        <v>849600</v>
      </c>
      <c r="AH12" s="89">
        <f t="shared" si="6"/>
        <v>944125</v>
      </c>
      <c r="AI12" s="89">
        <f t="shared" si="6"/>
        <v>1008150</v>
      </c>
      <c r="AJ12" s="89">
        <f t="shared" si="6"/>
        <v>1127275</v>
      </c>
      <c r="AK12" s="89">
        <f t="shared" si="6"/>
        <v>1144100</v>
      </c>
      <c r="AL12" s="89">
        <f t="shared" si="6"/>
        <v>1247175</v>
      </c>
      <c r="AM12" s="89">
        <f t="shared" si="6"/>
        <v>1405250</v>
      </c>
      <c r="AN12" s="89">
        <f t="shared" si="6"/>
        <v>1535375</v>
      </c>
      <c r="AO12" s="89">
        <f t="shared" si="6"/>
        <v>1647000.0000000002</v>
      </c>
    </row>
    <row r="13" spans="1:41" x14ac:dyDescent="0.15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V13" s="1"/>
      <c r="W13" s="7"/>
      <c r="X13" s="14"/>
    </row>
    <row r="14" spans="1:41" x14ac:dyDescent="0.15">
      <c r="A14" s="1" t="s">
        <v>170</v>
      </c>
      <c r="R14" s="53"/>
      <c r="S14" s="53"/>
      <c r="T14" s="53"/>
      <c r="V14" s="1" t="s">
        <v>170</v>
      </c>
      <c r="W14" s="7"/>
      <c r="X14" s="14"/>
    </row>
    <row r="15" spans="1:41" s="10" customFormat="1" x14ac:dyDescent="0.15">
      <c r="A15" s="1"/>
      <c r="B15" s="7" t="s">
        <v>171</v>
      </c>
      <c r="C15" s="52" t="s">
        <v>34</v>
      </c>
      <c r="D15" s="52"/>
      <c r="E15" s="85">
        <v>1</v>
      </c>
      <c r="F15" s="85">
        <v>1</v>
      </c>
      <c r="G15" s="85">
        <v>1</v>
      </c>
      <c r="H15" s="85">
        <f t="shared" ref="H15:T15" si="7">H6*H22</f>
        <v>1</v>
      </c>
      <c r="I15" s="85">
        <f t="shared" si="7"/>
        <v>1</v>
      </c>
      <c r="J15" s="85">
        <f t="shared" si="7"/>
        <v>1</v>
      </c>
      <c r="K15" s="85">
        <f t="shared" si="7"/>
        <v>1</v>
      </c>
      <c r="L15" s="85">
        <f t="shared" si="7"/>
        <v>1</v>
      </c>
      <c r="M15" s="85">
        <f t="shared" si="7"/>
        <v>1</v>
      </c>
      <c r="N15" s="85">
        <f t="shared" si="7"/>
        <v>1</v>
      </c>
      <c r="O15" s="85">
        <f t="shared" si="7"/>
        <v>1</v>
      </c>
      <c r="P15" s="85">
        <f t="shared" si="7"/>
        <v>1</v>
      </c>
      <c r="Q15" s="85">
        <f t="shared" si="7"/>
        <v>1</v>
      </c>
      <c r="R15" s="85">
        <f t="shared" si="7"/>
        <v>1</v>
      </c>
      <c r="S15" s="85">
        <f t="shared" si="7"/>
        <v>1</v>
      </c>
      <c r="T15" s="85">
        <f t="shared" si="7"/>
        <v>1</v>
      </c>
      <c r="U15" s="9"/>
      <c r="V15" s="1"/>
      <c r="W15" s="7" t="s">
        <v>171</v>
      </c>
      <c r="X15" s="74">
        <v>225000</v>
      </c>
      <c r="Y15" s="51"/>
      <c r="Z15" s="57">
        <f t="shared" ref="Z15:AO18" si="8">E15*($X15/4)*Z$4</f>
        <v>67500</v>
      </c>
      <c r="AA15" s="57">
        <f t="shared" si="8"/>
        <v>67500</v>
      </c>
      <c r="AB15" s="57">
        <f t="shared" si="8"/>
        <v>67500</v>
      </c>
      <c r="AC15" s="57">
        <f t="shared" si="8"/>
        <v>67500</v>
      </c>
      <c r="AD15" s="57">
        <f t="shared" si="8"/>
        <v>68625</v>
      </c>
      <c r="AE15" s="57">
        <f t="shared" si="8"/>
        <v>69750</v>
      </c>
      <c r="AF15" s="57">
        <f t="shared" si="8"/>
        <v>70875</v>
      </c>
      <c r="AG15" s="57">
        <f t="shared" si="8"/>
        <v>72000</v>
      </c>
      <c r="AH15" s="57">
        <f t="shared" si="8"/>
        <v>73125</v>
      </c>
      <c r="AI15" s="57">
        <f t="shared" si="8"/>
        <v>74250</v>
      </c>
      <c r="AJ15" s="57">
        <f t="shared" si="8"/>
        <v>75375</v>
      </c>
      <c r="AK15" s="57">
        <f t="shared" si="8"/>
        <v>76500</v>
      </c>
      <c r="AL15" s="57">
        <f t="shared" si="8"/>
        <v>77625</v>
      </c>
      <c r="AM15" s="57">
        <f t="shared" si="8"/>
        <v>78750.000000000015</v>
      </c>
      <c r="AN15" s="57">
        <f t="shared" si="8"/>
        <v>79875.000000000015</v>
      </c>
      <c r="AO15" s="57">
        <f t="shared" si="8"/>
        <v>81000.000000000015</v>
      </c>
    </row>
    <row r="16" spans="1:41" s="10" customFormat="1" x14ac:dyDescent="0.15">
      <c r="A16" s="1"/>
      <c r="B16" s="7" t="s">
        <v>172</v>
      </c>
      <c r="C16" s="52" t="s">
        <v>34</v>
      </c>
      <c r="D16" s="52"/>
      <c r="E16" s="85">
        <v>1</v>
      </c>
      <c r="F16" s="85">
        <v>1</v>
      </c>
      <c r="G16" s="85">
        <v>2</v>
      </c>
      <c r="H16" s="85">
        <v>2</v>
      </c>
      <c r="I16" s="85">
        <v>3</v>
      </c>
      <c r="J16" s="85">
        <v>3</v>
      </c>
      <c r="K16" s="85">
        <v>4</v>
      </c>
      <c r="L16" s="85">
        <v>4</v>
      </c>
      <c r="M16" s="85">
        <v>6</v>
      </c>
      <c r="N16" s="85">
        <v>8</v>
      </c>
      <c r="O16" s="85">
        <v>10</v>
      </c>
      <c r="P16" s="85">
        <v>12</v>
      </c>
      <c r="Q16" s="85">
        <v>14</v>
      </c>
      <c r="R16" s="85">
        <v>17</v>
      </c>
      <c r="S16" s="85">
        <v>20</v>
      </c>
      <c r="T16" s="85">
        <v>24</v>
      </c>
      <c r="U16" s="9"/>
      <c r="V16" s="1"/>
      <c r="W16" s="7" t="s">
        <v>172</v>
      </c>
      <c r="X16" s="74">
        <v>160000</v>
      </c>
      <c r="Y16" s="51"/>
      <c r="Z16" s="57">
        <f t="shared" si="8"/>
        <v>48000</v>
      </c>
      <c r="AA16" s="57">
        <f t="shared" si="8"/>
        <v>48000</v>
      </c>
      <c r="AB16" s="57">
        <f t="shared" si="8"/>
        <v>96000</v>
      </c>
      <c r="AC16" s="57">
        <f t="shared" si="8"/>
        <v>96000</v>
      </c>
      <c r="AD16" s="57">
        <f t="shared" si="8"/>
        <v>146400</v>
      </c>
      <c r="AE16" s="57">
        <f t="shared" si="8"/>
        <v>148800</v>
      </c>
      <c r="AF16" s="57">
        <f t="shared" si="8"/>
        <v>201600</v>
      </c>
      <c r="AG16" s="57">
        <f t="shared" si="8"/>
        <v>204800</v>
      </c>
      <c r="AH16" s="57">
        <f t="shared" si="8"/>
        <v>312000</v>
      </c>
      <c r="AI16" s="57">
        <f t="shared" si="8"/>
        <v>422400</v>
      </c>
      <c r="AJ16" s="57">
        <f t="shared" si="8"/>
        <v>536000</v>
      </c>
      <c r="AK16" s="57">
        <f t="shared" si="8"/>
        <v>652800</v>
      </c>
      <c r="AL16" s="57">
        <f t="shared" si="8"/>
        <v>772800.00000000012</v>
      </c>
      <c r="AM16" s="57">
        <f t="shared" si="8"/>
        <v>952000.00000000012</v>
      </c>
      <c r="AN16" s="57">
        <f t="shared" si="8"/>
        <v>1136000.0000000002</v>
      </c>
      <c r="AO16" s="57">
        <f t="shared" si="8"/>
        <v>1382400.0000000002</v>
      </c>
    </row>
    <row r="17" spans="1:41" s="10" customFormat="1" x14ac:dyDescent="0.15">
      <c r="A17" s="1"/>
      <c r="B17" s="7" t="s">
        <v>93</v>
      </c>
      <c r="C17" s="52" t="s">
        <v>202</v>
      </c>
      <c r="D17" s="52"/>
      <c r="E17" s="90">
        <f>E16</f>
        <v>1</v>
      </c>
      <c r="F17" s="90">
        <f t="shared" ref="F17:T17" si="9">F16</f>
        <v>1</v>
      </c>
      <c r="G17" s="90">
        <f t="shared" si="9"/>
        <v>2</v>
      </c>
      <c r="H17" s="90">
        <f t="shared" si="9"/>
        <v>2</v>
      </c>
      <c r="I17" s="90">
        <f t="shared" si="9"/>
        <v>3</v>
      </c>
      <c r="J17" s="90">
        <f t="shared" si="9"/>
        <v>3</v>
      </c>
      <c r="K17" s="90">
        <f t="shared" si="9"/>
        <v>4</v>
      </c>
      <c r="L17" s="90">
        <f t="shared" si="9"/>
        <v>4</v>
      </c>
      <c r="M17" s="90">
        <f t="shared" si="9"/>
        <v>6</v>
      </c>
      <c r="N17" s="90">
        <f t="shared" si="9"/>
        <v>8</v>
      </c>
      <c r="O17" s="90">
        <f t="shared" si="9"/>
        <v>10</v>
      </c>
      <c r="P17" s="90">
        <f t="shared" si="9"/>
        <v>12</v>
      </c>
      <c r="Q17" s="90">
        <f t="shared" si="9"/>
        <v>14</v>
      </c>
      <c r="R17" s="90">
        <f t="shared" si="9"/>
        <v>17</v>
      </c>
      <c r="S17" s="90">
        <f t="shared" si="9"/>
        <v>20</v>
      </c>
      <c r="T17" s="90">
        <f t="shared" si="9"/>
        <v>24</v>
      </c>
      <c r="U17" s="9"/>
      <c r="V17" s="1"/>
      <c r="W17" s="7" t="s">
        <v>93</v>
      </c>
      <c r="X17" s="74">
        <v>80000</v>
      </c>
      <c r="Y17" s="51"/>
      <c r="Z17" s="57">
        <f t="shared" si="8"/>
        <v>24000</v>
      </c>
      <c r="AA17" s="57">
        <f t="shared" si="8"/>
        <v>24000</v>
      </c>
      <c r="AB17" s="57">
        <f t="shared" si="8"/>
        <v>48000</v>
      </c>
      <c r="AC17" s="57">
        <f t="shared" si="8"/>
        <v>48000</v>
      </c>
      <c r="AD17" s="57">
        <f t="shared" si="8"/>
        <v>73200</v>
      </c>
      <c r="AE17" s="57">
        <f t="shared" si="8"/>
        <v>74400</v>
      </c>
      <c r="AF17" s="57">
        <f t="shared" si="8"/>
        <v>100800</v>
      </c>
      <c r="AG17" s="57">
        <f t="shared" si="8"/>
        <v>102400</v>
      </c>
      <c r="AH17" s="57">
        <f t="shared" si="8"/>
        <v>156000</v>
      </c>
      <c r="AI17" s="57">
        <f t="shared" si="8"/>
        <v>211200</v>
      </c>
      <c r="AJ17" s="57">
        <f t="shared" si="8"/>
        <v>268000</v>
      </c>
      <c r="AK17" s="57">
        <f t="shared" si="8"/>
        <v>326400</v>
      </c>
      <c r="AL17" s="57">
        <f t="shared" si="8"/>
        <v>386400.00000000006</v>
      </c>
      <c r="AM17" s="57">
        <f t="shared" si="8"/>
        <v>476000.00000000006</v>
      </c>
      <c r="AN17" s="57">
        <f t="shared" si="8"/>
        <v>568000.00000000012</v>
      </c>
      <c r="AO17" s="57">
        <f t="shared" si="8"/>
        <v>691200.00000000012</v>
      </c>
    </row>
    <row r="18" spans="1:41" s="10" customFormat="1" x14ac:dyDescent="0.15">
      <c r="A18" s="1"/>
      <c r="B18" s="7" t="s">
        <v>94</v>
      </c>
      <c r="C18" s="52" t="s">
        <v>34</v>
      </c>
      <c r="D18" s="52"/>
      <c r="E18" s="86">
        <v>1</v>
      </c>
      <c r="F18" s="86">
        <v>1</v>
      </c>
      <c r="G18" s="86">
        <v>1</v>
      </c>
      <c r="H18" s="86">
        <v>1</v>
      </c>
      <c r="I18" s="86">
        <v>2</v>
      </c>
      <c r="J18" s="86">
        <v>2</v>
      </c>
      <c r="K18" s="86">
        <v>2</v>
      </c>
      <c r="L18" s="86">
        <v>2</v>
      </c>
      <c r="M18" s="86">
        <v>3</v>
      </c>
      <c r="N18" s="86">
        <v>3</v>
      </c>
      <c r="O18" s="86">
        <v>4</v>
      </c>
      <c r="P18" s="86">
        <v>4</v>
      </c>
      <c r="Q18" s="86">
        <v>4</v>
      </c>
      <c r="R18" s="86">
        <v>5</v>
      </c>
      <c r="S18" s="86">
        <v>5</v>
      </c>
      <c r="T18" s="86">
        <v>5</v>
      </c>
      <c r="U18" s="9"/>
      <c r="V18" s="1"/>
      <c r="W18" s="7" t="s">
        <v>94</v>
      </c>
      <c r="X18" s="74">
        <v>60000</v>
      </c>
      <c r="Y18" s="51"/>
      <c r="Z18" s="57">
        <f t="shared" si="8"/>
        <v>18000</v>
      </c>
      <c r="AA18" s="57">
        <f t="shared" si="8"/>
        <v>18000</v>
      </c>
      <c r="AB18" s="57">
        <f t="shared" si="8"/>
        <v>18000</v>
      </c>
      <c r="AC18" s="57">
        <f t="shared" si="8"/>
        <v>18000</v>
      </c>
      <c r="AD18" s="57">
        <f t="shared" si="8"/>
        <v>36600</v>
      </c>
      <c r="AE18" s="57">
        <f t="shared" si="8"/>
        <v>37200</v>
      </c>
      <c r="AF18" s="57">
        <f t="shared" si="8"/>
        <v>37800</v>
      </c>
      <c r="AG18" s="57">
        <f t="shared" si="8"/>
        <v>38400</v>
      </c>
      <c r="AH18" s="57">
        <f t="shared" si="8"/>
        <v>58500</v>
      </c>
      <c r="AI18" s="57">
        <f t="shared" si="8"/>
        <v>59400</v>
      </c>
      <c r="AJ18" s="57">
        <f t="shared" si="8"/>
        <v>80400</v>
      </c>
      <c r="AK18" s="57">
        <f t="shared" si="8"/>
        <v>81600</v>
      </c>
      <c r="AL18" s="57">
        <f t="shared" si="8"/>
        <v>82800</v>
      </c>
      <c r="AM18" s="57">
        <f t="shared" si="8"/>
        <v>105000.00000000001</v>
      </c>
      <c r="AN18" s="57">
        <f t="shared" si="8"/>
        <v>106500.00000000001</v>
      </c>
      <c r="AO18" s="57">
        <f t="shared" si="8"/>
        <v>108000.00000000001</v>
      </c>
    </row>
    <row r="19" spans="1:41" s="1" customFormat="1" x14ac:dyDescent="0.15">
      <c r="B19" s="4" t="s">
        <v>173</v>
      </c>
      <c r="C19" s="4"/>
      <c r="D19" s="4"/>
      <c r="E19" s="87">
        <f t="shared" ref="E19:T19" si="10">SUM(E15:E18)</f>
        <v>4</v>
      </c>
      <c r="F19" s="87">
        <f t="shared" si="10"/>
        <v>4</v>
      </c>
      <c r="G19" s="87">
        <f t="shared" si="10"/>
        <v>6</v>
      </c>
      <c r="H19" s="87">
        <f t="shared" si="10"/>
        <v>6</v>
      </c>
      <c r="I19" s="87">
        <f t="shared" si="10"/>
        <v>9</v>
      </c>
      <c r="J19" s="87">
        <f t="shared" si="10"/>
        <v>9</v>
      </c>
      <c r="K19" s="87">
        <f t="shared" si="10"/>
        <v>11</v>
      </c>
      <c r="L19" s="87">
        <f t="shared" si="10"/>
        <v>11</v>
      </c>
      <c r="M19" s="87">
        <f t="shared" si="10"/>
        <v>16</v>
      </c>
      <c r="N19" s="87">
        <f t="shared" si="10"/>
        <v>20</v>
      </c>
      <c r="O19" s="87">
        <f t="shared" si="10"/>
        <v>25</v>
      </c>
      <c r="P19" s="87">
        <f t="shared" si="10"/>
        <v>29</v>
      </c>
      <c r="Q19" s="87">
        <f t="shared" si="10"/>
        <v>33</v>
      </c>
      <c r="R19" s="87">
        <f t="shared" si="10"/>
        <v>40</v>
      </c>
      <c r="S19" s="87">
        <f t="shared" si="10"/>
        <v>46</v>
      </c>
      <c r="T19" s="87">
        <f t="shared" si="10"/>
        <v>54</v>
      </c>
      <c r="W19" s="4" t="s">
        <v>173</v>
      </c>
      <c r="X19" s="39"/>
      <c r="Y19" s="88" t="s">
        <v>244</v>
      </c>
      <c r="Z19" s="89">
        <f>SUM(Z15:Z18)</f>
        <v>157500</v>
      </c>
      <c r="AA19" s="89">
        <f t="shared" ref="AA19:AO19" si="11">SUM(AA15:AA18)</f>
        <v>157500</v>
      </c>
      <c r="AB19" s="89">
        <f t="shared" si="11"/>
        <v>229500</v>
      </c>
      <c r="AC19" s="89">
        <f t="shared" si="11"/>
        <v>229500</v>
      </c>
      <c r="AD19" s="89">
        <f t="shared" si="11"/>
        <v>324825</v>
      </c>
      <c r="AE19" s="89">
        <f t="shared" si="11"/>
        <v>330150</v>
      </c>
      <c r="AF19" s="89">
        <f t="shared" si="11"/>
        <v>411075</v>
      </c>
      <c r="AG19" s="89">
        <f t="shared" si="11"/>
        <v>417600</v>
      </c>
      <c r="AH19" s="89">
        <f t="shared" si="11"/>
        <v>599625</v>
      </c>
      <c r="AI19" s="89">
        <f t="shared" si="11"/>
        <v>767250</v>
      </c>
      <c r="AJ19" s="89">
        <f t="shared" si="11"/>
        <v>959775</v>
      </c>
      <c r="AK19" s="89">
        <f t="shared" si="11"/>
        <v>1137300</v>
      </c>
      <c r="AL19" s="89">
        <f t="shared" si="11"/>
        <v>1319625.0000000002</v>
      </c>
      <c r="AM19" s="89">
        <f t="shared" si="11"/>
        <v>1611750.0000000002</v>
      </c>
      <c r="AN19" s="89">
        <f t="shared" si="11"/>
        <v>1890375.0000000005</v>
      </c>
      <c r="AO19" s="89">
        <f t="shared" si="11"/>
        <v>2262600.0000000005</v>
      </c>
    </row>
    <row r="20" spans="1:41" x14ac:dyDescent="0.15">
      <c r="R20" s="53"/>
      <c r="S20" s="53"/>
      <c r="T20" s="53"/>
      <c r="V20" s="1"/>
      <c r="W20" s="7"/>
      <c r="X20" s="14"/>
    </row>
    <row r="21" spans="1:41" x14ac:dyDescent="0.15">
      <c r="A21" s="1" t="s">
        <v>113</v>
      </c>
      <c r="R21" s="53"/>
      <c r="S21" s="53"/>
      <c r="T21" s="53"/>
      <c r="V21" s="1" t="s">
        <v>113</v>
      </c>
      <c r="W21" s="7"/>
      <c r="X21" s="14"/>
    </row>
    <row r="22" spans="1:41" s="10" customFormat="1" x14ac:dyDescent="0.15">
      <c r="A22" s="1"/>
      <c r="B22" s="7" t="s">
        <v>114</v>
      </c>
      <c r="C22" s="52" t="s">
        <v>34</v>
      </c>
      <c r="D22" s="52"/>
      <c r="E22" s="85">
        <v>1</v>
      </c>
      <c r="F22" s="85">
        <v>1</v>
      </c>
      <c r="G22" s="85">
        <v>1</v>
      </c>
      <c r="H22" s="85">
        <v>1</v>
      </c>
      <c r="I22" s="85">
        <v>1</v>
      </c>
      <c r="J22" s="85">
        <v>1</v>
      </c>
      <c r="K22" s="85">
        <v>1</v>
      </c>
      <c r="L22" s="85">
        <v>1</v>
      </c>
      <c r="M22" s="85">
        <v>1</v>
      </c>
      <c r="N22" s="85">
        <v>1</v>
      </c>
      <c r="O22" s="85">
        <v>1</v>
      </c>
      <c r="P22" s="85">
        <v>1</v>
      </c>
      <c r="Q22" s="85">
        <v>1</v>
      </c>
      <c r="R22" s="85">
        <v>1</v>
      </c>
      <c r="S22" s="85">
        <v>1</v>
      </c>
      <c r="T22" s="85">
        <v>1</v>
      </c>
      <c r="U22" s="9"/>
      <c r="V22" s="1"/>
      <c r="W22" s="7" t="s">
        <v>114</v>
      </c>
      <c r="X22" s="74">
        <v>200000</v>
      </c>
      <c r="Y22" s="51"/>
      <c r="Z22" s="57">
        <f t="shared" ref="Z22:AO25" si="12">E22*($X22/4)*Z$4</f>
        <v>60000</v>
      </c>
      <c r="AA22" s="57">
        <f t="shared" si="12"/>
        <v>60000</v>
      </c>
      <c r="AB22" s="57">
        <f t="shared" si="12"/>
        <v>60000</v>
      </c>
      <c r="AC22" s="57">
        <f t="shared" si="12"/>
        <v>60000</v>
      </c>
      <c r="AD22" s="57">
        <f t="shared" si="12"/>
        <v>61000</v>
      </c>
      <c r="AE22" s="57">
        <f t="shared" si="12"/>
        <v>62000</v>
      </c>
      <c r="AF22" s="57">
        <f t="shared" si="12"/>
        <v>63000</v>
      </c>
      <c r="AG22" s="57">
        <f t="shared" si="12"/>
        <v>64000</v>
      </c>
      <c r="AH22" s="57">
        <f t="shared" si="12"/>
        <v>65000</v>
      </c>
      <c r="AI22" s="57">
        <f t="shared" si="12"/>
        <v>66000</v>
      </c>
      <c r="AJ22" s="57">
        <f t="shared" si="12"/>
        <v>67000</v>
      </c>
      <c r="AK22" s="57">
        <f t="shared" si="12"/>
        <v>68000</v>
      </c>
      <c r="AL22" s="57">
        <f t="shared" si="12"/>
        <v>69000</v>
      </c>
      <c r="AM22" s="57">
        <f t="shared" si="12"/>
        <v>70000</v>
      </c>
      <c r="AN22" s="57">
        <f t="shared" si="12"/>
        <v>71000.000000000015</v>
      </c>
      <c r="AO22" s="57">
        <f t="shared" si="12"/>
        <v>72000.000000000015</v>
      </c>
    </row>
    <row r="23" spans="1:41" s="10" customFormat="1" x14ac:dyDescent="0.15">
      <c r="A23" s="1"/>
      <c r="B23" s="7" t="s">
        <v>115</v>
      </c>
      <c r="C23" s="52" t="s">
        <v>34</v>
      </c>
      <c r="D23" s="52"/>
      <c r="E23" s="85">
        <v>1</v>
      </c>
      <c r="F23" s="85">
        <v>1</v>
      </c>
      <c r="G23" s="85">
        <v>1</v>
      </c>
      <c r="H23" s="85">
        <v>1</v>
      </c>
      <c r="I23" s="85">
        <v>1</v>
      </c>
      <c r="J23" s="85">
        <v>1</v>
      </c>
      <c r="K23" s="85">
        <v>1</v>
      </c>
      <c r="L23" s="85">
        <v>1</v>
      </c>
      <c r="M23" s="85">
        <v>2</v>
      </c>
      <c r="N23" s="85">
        <v>2</v>
      </c>
      <c r="O23" s="85">
        <v>3</v>
      </c>
      <c r="P23" s="85">
        <v>3</v>
      </c>
      <c r="Q23" s="85">
        <v>4</v>
      </c>
      <c r="R23" s="85">
        <v>4</v>
      </c>
      <c r="S23" s="85">
        <v>5</v>
      </c>
      <c r="T23" s="85">
        <v>5</v>
      </c>
      <c r="U23" s="9"/>
      <c r="V23" s="1"/>
      <c r="W23" s="7" t="s">
        <v>115</v>
      </c>
      <c r="X23" s="74">
        <v>130000</v>
      </c>
      <c r="Y23" s="51"/>
      <c r="Z23" s="57">
        <f t="shared" si="12"/>
        <v>39000</v>
      </c>
      <c r="AA23" s="57">
        <f t="shared" si="12"/>
        <v>39000</v>
      </c>
      <c r="AB23" s="57">
        <f t="shared" si="12"/>
        <v>39000</v>
      </c>
      <c r="AC23" s="57">
        <f t="shared" si="12"/>
        <v>39000</v>
      </c>
      <c r="AD23" s="57">
        <f t="shared" si="12"/>
        <v>39650</v>
      </c>
      <c r="AE23" s="57">
        <f t="shared" si="12"/>
        <v>40300</v>
      </c>
      <c r="AF23" s="57">
        <f t="shared" si="12"/>
        <v>40950</v>
      </c>
      <c r="AG23" s="57">
        <f t="shared" si="12"/>
        <v>41600</v>
      </c>
      <c r="AH23" s="57">
        <f t="shared" si="12"/>
        <v>84500</v>
      </c>
      <c r="AI23" s="57">
        <f t="shared" si="12"/>
        <v>85800</v>
      </c>
      <c r="AJ23" s="57">
        <f t="shared" si="12"/>
        <v>130650.00000000001</v>
      </c>
      <c r="AK23" s="57">
        <f t="shared" si="12"/>
        <v>132600</v>
      </c>
      <c r="AL23" s="57">
        <f t="shared" si="12"/>
        <v>179400.00000000003</v>
      </c>
      <c r="AM23" s="57">
        <f t="shared" si="12"/>
        <v>182000.00000000003</v>
      </c>
      <c r="AN23" s="57">
        <f t="shared" si="12"/>
        <v>230750.00000000003</v>
      </c>
      <c r="AO23" s="57">
        <f t="shared" si="12"/>
        <v>234000.00000000003</v>
      </c>
    </row>
    <row r="24" spans="1:41" s="10" customFormat="1" x14ac:dyDescent="0.15">
      <c r="A24" s="1"/>
      <c r="B24" s="7" t="s">
        <v>99</v>
      </c>
      <c r="C24" s="52" t="s">
        <v>34</v>
      </c>
      <c r="D24" s="52"/>
      <c r="E24" s="85">
        <v>0</v>
      </c>
      <c r="F24" s="85">
        <v>0</v>
      </c>
      <c r="G24" s="85">
        <v>1</v>
      </c>
      <c r="H24" s="85">
        <v>1</v>
      </c>
      <c r="I24" s="85">
        <v>1</v>
      </c>
      <c r="J24" s="85">
        <v>1</v>
      </c>
      <c r="K24" s="85">
        <v>2</v>
      </c>
      <c r="L24" s="85">
        <v>2</v>
      </c>
      <c r="M24" s="85">
        <v>2</v>
      </c>
      <c r="N24" s="85">
        <v>3</v>
      </c>
      <c r="O24" s="85">
        <v>3</v>
      </c>
      <c r="P24" s="85">
        <v>3</v>
      </c>
      <c r="Q24" s="85">
        <v>4</v>
      </c>
      <c r="R24" s="85">
        <v>4</v>
      </c>
      <c r="S24" s="85">
        <v>5</v>
      </c>
      <c r="T24" s="85">
        <v>5</v>
      </c>
      <c r="U24" s="9"/>
      <c r="V24" s="1"/>
      <c r="W24" s="7" t="s">
        <v>99</v>
      </c>
      <c r="X24" s="74">
        <v>75000</v>
      </c>
      <c r="Y24" s="51"/>
      <c r="Z24" s="57">
        <f t="shared" si="12"/>
        <v>0</v>
      </c>
      <c r="AA24" s="57">
        <f t="shared" si="12"/>
        <v>0</v>
      </c>
      <c r="AB24" s="57">
        <f t="shared" si="12"/>
        <v>22500</v>
      </c>
      <c r="AC24" s="57">
        <f t="shared" si="12"/>
        <v>22500</v>
      </c>
      <c r="AD24" s="57">
        <f t="shared" si="12"/>
        <v>22875</v>
      </c>
      <c r="AE24" s="57">
        <f t="shared" si="12"/>
        <v>23250</v>
      </c>
      <c r="AF24" s="57">
        <f t="shared" si="12"/>
        <v>47250</v>
      </c>
      <c r="AG24" s="57">
        <f t="shared" si="12"/>
        <v>48000</v>
      </c>
      <c r="AH24" s="57">
        <f t="shared" si="12"/>
        <v>48750</v>
      </c>
      <c r="AI24" s="57">
        <f t="shared" si="12"/>
        <v>74250</v>
      </c>
      <c r="AJ24" s="57">
        <f t="shared" si="12"/>
        <v>75375</v>
      </c>
      <c r="AK24" s="57">
        <f t="shared" si="12"/>
        <v>76500</v>
      </c>
      <c r="AL24" s="57">
        <f t="shared" si="12"/>
        <v>103500.00000000001</v>
      </c>
      <c r="AM24" s="57">
        <f t="shared" si="12"/>
        <v>105000.00000000001</v>
      </c>
      <c r="AN24" s="57">
        <f t="shared" si="12"/>
        <v>133125</v>
      </c>
      <c r="AO24" s="57">
        <f t="shared" si="12"/>
        <v>135000.00000000003</v>
      </c>
    </row>
    <row r="25" spans="1:41" s="10" customFormat="1" x14ac:dyDescent="0.15">
      <c r="A25" s="1"/>
      <c r="B25" s="7" t="s">
        <v>39</v>
      </c>
      <c r="C25" s="52" t="s">
        <v>34</v>
      </c>
      <c r="D25" s="52"/>
      <c r="E25" s="86">
        <v>1</v>
      </c>
      <c r="F25" s="86">
        <v>1</v>
      </c>
      <c r="G25" s="86">
        <v>1</v>
      </c>
      <c r="H25" s="86">
        <v>1</v>
      </c>
      <c r="I25" s="86">
        <v>2</v>
      </c>
      <c r="J25" s="86">
        <v>2</v>
      </c>
      <c r="K25" s="86">
        <v>2</v>
      </c>
      <c r="L25" s="86">
        <v>2</v>
      </c>
      <c r="M25" s="86">
        <v>3</v>
      </c>
      <c r="N25" s="86">
        <v>3</v>
      </c>
      <c r="O25" s="86">
        <v>3</v>
      </c>
      <c r="P25" s="86">
        <v>3</v>
      </c>
      <c r="Q25" s="86">
        <v>4</v>
      </c>
      <c r="R25" s="86">
        <v>4</v>
      </c>
      <c r="S25" s="86">
        <v>4</v>
      </c>
      <c r="T25" s="86">
        <v>4</v>
      </c>
      <c r="U25" s="9"/>
      <c r="V25" s="1"/>
      <c r="W25" s="7" t="s">
        <v>39</v>
      </c>
      <c r="X25" s="74">
        <v>80000</v>
      </c>
      <c r="Y25" s="51"/>
      <c r="Z25" s="57">
        <f t="shared" si="12"/>
        <v>24000</v>
      </c>
      <c r="AA25" s="57">
        <f t="shared" si="12"/>
        <v>24000</v>
      </c>
      <c r="AB25" s="57">
        <f t="shared" si="12"/>
        <v>24000</v>
      </c>
      <c r="AC25" s="57">
        <f t="shared" si="12"/>
        <v>24000</v>
      </c>
      <c r="AD25" s="57">
        <f t="shared" si="12"/>
        <v>48800</v>
      </c>
      <c r="AE25" s="57">
        <f t="shared" si="12"/>
        <v>49600</v>
      </c>
      <c r="AF25" s="57">
        <f t="shared" si="12"/>
        <v>50400</v>
      </c>
      <c r="AG25" s="57">
        <f t="shared" si="12"/>
        <v>51200</v>
      </c>
      <c r="AH25" s="57">
        <f t="shared" si="12"/>
        <v>78000</v>
      </c>
      <c r="AI25" s="57">
        <f t="shared" si="12"/>
        <v>79200</v>
      </c>
      <c r="AJ25" s="57">
        <f t="shared" si="12"/>
        <v>80400</v>
      </c>
      <c r="AK25" s="57">
        <f t="shared" si="12"/>
        <v>81600</v>
      </c>
      <c r="AL25" s="57">
        <f t="shared" si="12"/>
        <v>110400.00000000001</v>
      </c>
      <c r="AM25" s="57">
        <f t="shared" si="12"/>
        <v>112000.00000000001</v>
      </c>
      <c r="AN25" s="57">
        <f t="shared" si="12"/>
        <v>113600.00000000001</v>
      </c>
      <c r="AO25" s="57">
        <f t="shared" si="12"/>
        <v>115200.00000000001</v>
      </c>
    </row>
    <row r="26" spans="1:41" s="1" customFormat="1" x14ac:dyDescent="0.15">
      <c r="B26" s="4" t="s">
        <v>169</v>
      </c>
      <c r="C26" s="4"/>
      <c r="D26" s="4"/>
      <c r="E26" s="87">
        <f t="shared" ref="E26:T26" si="13">SUM(E22:E25)</f>
        <v>3</v>
      </c>
      <c r="F26" s="87">
        <f t="shared" si="13"/>
        <v>3</v>
      </c>
      <c r="G26" s="87">
        <f t="shared" si="13"/>
        <v>4</v>
      </c>
      <c r="H26" s="87">
        <f t="shared" si="13"/>
        <v>4</v>
      </c>
      <c r="I26" s="87">
        <f t="shared" si="13"/>
        <v>5</v>
      </c>
      <c r="J26" s="87">
        <f t="shared" si="13"/>
        <v>5</v>
      </c>
      <c r="K26" s="87">
        <f t="shared" si="13"/>
        <v>6</v>
      </c>
      <c r="L26" s="87">
        <f t="shared" si="13"/>
        <v>6</v>
      </c>
      <c r="M26" s="87">
        <f t="shared" si="13"/>
        <v>8</v>
      </c>
      <c r="N26" s="87">
        <f t="shared" si="13"/>
        <v>9</v>
      </c>
      <c r="O26" s="87">
        <f t="shared" si="13"/>
        <v>10</v>
      </c>
      <c r="P26" s="87">
        <f t="shared" si="13"/>
        <v>10</v>
      </c>
      <c r="Q26" s="87">
        <f t="shared" si="13"/>
        <v>13</v>
      </c>
      <c r="R26" s="87">
        <f t="shared" si="13"/>
        <v>13</v>
      </c>
      <c r="S26" s="87">
        <f t="shared" si="13"/>
        <v>15</v>
      </c>
      <c r="T26" s="87">
        <f t="shared" si="13"/>
        <v>15</v>
      </c>
      <c r="W26" s="4" t="s">
        <v>169</v>
      </c>
      <c r="X26" s="39"/>
      <c r="Y26" s="88" t="s">
        <v>244</v>
      </c>
      <c r="Z26" s="89">
        <f>SUM(Z22:Z25)</f>
        <v>123000</v>
      </c>
      <c r="AA26" s="89">
        <f t="shared" ref="AA26:AO26" si="14">SUM(AA22:AA25)</f>
        <v>123000</v>
      </c>
      <c r="AB26" s="89">
        <f t="shared" si="14"/>
        <v>145500</v>
      </c>
      <c r="AC26" s="89">
        <f t="shared" si="14"/>
        <v>145500</v>
      </c>
      <c r="AD26" s="89">
        <f t="shared" si="14"/>
        <v>172325</v>
      </c>
      <c r="AE26" s="89">
        <f t="shared" si="14"/>
        <v>175150</v>
      </c>
      <c r="AF26" s="89">
        <f t="shared" si="14"/>
        <v>201600</v>
      </c>
      <c r="AG26" s="89">
        <f t="shared" si="14"/>
        <v>204800</v>
      </c>
      <c r="AH26" s="89">
        <f t="shared" si="14"/>
        <v>276250</v>
      </c>
      <c r="AI26" s="89">
        <f t="shared" si="14"/>
        <v>305250</v>
      </c>
      <c r="AJ26" s="89">
        <f t="shared" si="14"/>
        <v>353425</v>
      </c>
      <c r="AK26" s="89">
        <f t="shared" si="14"/>
        <v>358700</v>
      </c>
      <c r="AL26" s="89">
        <f t="shared" si="14"/>
        <v>462300.00000000006</v>
      </c>
      <c r="AM26" s="89">
        <f t="shared" si="14"/>
        <v>469000.00000000006</v>
      </c>
      <c r="AN26" s="89">
        <f t="shared" si="14"/>
        <v>548475.00000000012</v>
      </c>
      <c r="AO26" s="89">
        <f t="shared" si="14"/>
        <v>556200.00000000012</v>
      </c>
    </row>
    <row r="27" spans="1:41" x14ac:dyDescent="0.15">
      <c r="R27" s="53"/>
      <c r="S27" s="53"/>
      <c r="T27" s="53"/>
      <c r="V27" s="1"/>
      <c r="W27" s="7"/>
      <c r="X27" s="14"/>
    </row>
    <row r="28" spans="1:41" x14ac:dyDescent="0.15">
      <c r="A28" s="1" t="s">
        <v>174</v>
      </c>
      <c r="R28" s="53"/>
      <c r="S28" s="53"/>
      <c r="T28" s="53"/>
      <c r="V28" s="1" t="s">
        <v>174</v>
      </c>
      <c r="W28" s="7"/>
      <c r="X28" s="14"/>
    </row>
    <row r="29" spans="1:41" s="10" customFormat="1" x14ac:dyDescent="0.15">
      <c r="A29" s="1"/>
      <c r="B29" s="7" t="s">
        <v>40</v>
      </c>
      <c r="C29" s="52" t="s">
        <v>34</v>
      </c>
      <c r="D29" s="52"/>
      <c r="E29" s="85">
        <v>1</v>
      </c>
      <c r="F29" s="85">
        <v>1</v>
      </c>
      <c r="G29" s="85">
        <v>1</v>
      </c>
      <c r="H29" s="85">
        <v>1</v>
      </c>
      <c r="I29" s="85">
        <v>1</v>
      </c>
      <c r="J29" s="85">
        <v>1</v>
      </c>
      <c r="K29" s="85">
        <v>1</v>
      </c>
      <c r="L29" s="85">
        <v>1</v>
      </c>
      <c r="M29" s="85">
        <v>1</v>
      </c>
      <c r="N29" s="85">
        <v>1</v>
      </c>
      <c r="O29" s="85">
        <v>1</v>
      </c>
      <c r="P29" s="85">
        <v>1</v>
      </c>
      <c r="Q29" s="85">
        <v>1</v>
      </c>
      <c r="R29" s="85">
        <v>1</v>
      </c>
      <c r="S29" s="85">
        <v>1</v>
      </c>
      <c r="T29" s="85">
        <v>1</v>
      </c>
      <c r="U29" s="9"/>
      <c r="V29" s="1"/>
      <c r="W29" s="7" t="s">
        <v>40</v>
      </c>
      <c r="X29" s="74">
        <v>300000</v>
      </c>
      <c r="Y29" s="51"/>
      <c r="Z29" s="57">
        <f t="shared" ref="Z29:AO33" si="15">E29*($X29/4)*Z$4</f>
        <v>90000</v>
      </c>
      <c r="AA29" s="57">
        <f t="shared" si="15"/>
        <v>90000</v>
      </c>
      <c r="AB29" s="57">
        <f t="shared" si="15"/>
        <v>90000</v>
      </c>
      <c r="AC29" s="57">
        <f t="shared" si="15"/>
        <v>90000</v>
      </c>
      <c r="AD29" s="57">
        <f t="shared" si="15"/>
        <v>91500</v>
      </c>
      <c r="AE29" s="57">
        <f t="shared" si="15"/>
        <v>93000</v>
      </c>
      <c r="AF29" s="57">
        <f t="shared" si="15"/>
        <v>94500</v>
      </c>
      <c r="AG29" s="57">
        <f t="shared" si="15"/>
        <v>96000</v>
      </c>
      <c r="AH29" s="57">
        <f t="shared" si="15"/>
        <v>97500</v>
      </c>
      <c r="AI29" s="57">
        <f t="shared" si="15"/>
        <v>99000</v>
      </c>
      <c r="AJ29" s="57">
        <f t="shared" si="15"/>
        <v>100500</v>
      </c>
      <c r="AK29" s="57">
        <f t="shared" si="15"/>
        <v>102000.00000000001</v>
      </c>
      <c r="AL29" s="57">
        <f t="shared" si="15"/>
        <v>103500.00000000001</v>
      </c>
      <c r="AM29" s="57">
        <f t="shared" si="15"/>
        <v>105000.00000000001</v>
      </c>
      <c r="AN29" s="57">
        <f t="shared" si="15"/>
        <v>106500.00000000001</v>
      </c>
      <c r="AO29" s="57">
        <f t="shared" si="15"/>
        <v>108000.00000000001</v>
      </c>
    </row>
    <row r="30" spans="1:41" s="10" customFormat="1" x14ac:dyDescent="0.15">
      <c r="A30" s="1"/>
      <c r="B30" s="7" t="s">
        <v>175</v>
      </c>
      <c r="C30" s="52" t="s">
        <v>34</v>
      </c>
      <c r="D30" s="52"/>
      <c r="E30" s="85"/>
      <c r="F30" s="85"/>
      <c r="G30" s="85"/>
      <c r="H30" s="85"/>
      <c r="I30" s="85">
        <v>1</v>
      </c>
      <c r="J30" s="85">
        <v>1</v>
      </c>
      <c r="K30" s="85">
        <v>1</v>
      </c>
      <c r="L30" s="85">
        <v>1</v>
      </c>
      <c r="M30" s="85">
        <v>1</v>
      </c>
      <c r="N30" s="85">
        <v>1</v>
      </c>
      <c r="O30" s="85">
        <v>1</v>
      </c>
      <c r="P30" s="85">
        <v>1</v>
      </c>
      <c r="Q30" s="85">
        <v>1</v>
      </c>
      <c r="R30" s="85">
        <v>1</v>
      </c>
      <c r="S30" s="85">
        <v>1</v>
      </c>
      <c r="T30" s="85">
        <v>1</v>
      </c>
      <c r="U30" s="9"/>
      <c r="V30" s="1"/>
      <c r="W30" s="7" t="s">
        <v>175</v>
      </c>
      <c r="X30" s="74">
        <v>160000</v>
      </c>
      <c r="Y30" s="51"/>
      <c r="Z30" s="57">
        <f t="shared" si="15"/>
        <v>0</v>
      </c>
      <c r="AA30" s="57">
        <f t="shared" si="15"/>
        <v>0</v>
      </c>
      <c r="AB30" s="57">
        <f t="shared" si="15"/>
        <v>0</v>
      </c>
      <c r="AC30" s="57">
        <f t="shared" si="15"/>
        <v>0</v>
      </c>
      <c r="AD30" s="57">
        <f t="shared" si="15"/>
        <v>48800</v>
      </c>
      <c r="AE30" s="57">
        <f t="shared" si="15"/>
        <v>49600</v>
      </c>
      <c r="AF30" s="57">
        <f t="shared" si="15"/>
        <v>50400</v>
      </c>
      <c r="AG30" s="57">
        <f t="shared" si="15"/>
        <v>51200</v>
      </c>
      <c r="AH30" s="57">
        <f t="shared" si="15"/>
        <v>52000</v>
      </c>
      <c r="AI30" s="57">
        <f t="shared" si="15"/>
        <v>52800</v>
      </c>
      <c r="AJ30" s="57">
        <f t="shared" si="15"/>
        <v>53600</v>
      </c>
      <c r="AK30" s="57">
        <f t="shared" si="15"/>
        <v>54400.000000000007</v>
      </c>
      <c r="AL30" s="57">
        <f t="shared" si="15"/>
        <v>55200.000000000007</v>
      </c>
      <c r="AM30" s="57">
        <f t="shared" si="15"/>
        <v>56000.000000000007</v>
      </c>
      <c r="AN30" s="57">
        <f t="shared" si="15"/>
        <v>56800.000000000007</v>
      </c>
      <c r="AO30" s="57">
        <f t="shared" si="15"/>
        <v>57600.000000000007</v>
      </c>
    </row>
    <row r="31" spans="1:41" s="10" customFormat="1" x14ac:dyDescent="0.15">
      <c r="A31" s="1"/>
      <c r="B31" s="7" t="s">
        <v>68</v>
      </c>
      <c r="C31" s="52" t="s">
        <v>34</v>
      </c>
      <c r="D31" s="52"/>
      <c r="E31" s="85">
        <v>1</v>
      </c>
      <c r="F31" s="85">
        <v>1</v>
      </c>
      <c r="G31" s="85">
        <v>1</v>
      </c>
      <c r="H31" s="85">
        <v>1</v>
      </c>
      <c r="I31" s="85">
        <v>2</v>
      </c>
      <c r="J31" s="85">
        <v>2</v>
      </c>
      <c r="K31" s="85">
        <v>2</v>
      </c>
      <c r="L31" s="85">
        <v>2</v>
      </c>
      <c r="M31" s="85">
        <v>3</v>
      </c>
      <c r="N31" s="85">
        <v>3</v>
      </c>
      <c r="O31" s="85">
        <v>4</v>
      </c>
      <c r="P31" s="85">
        <v>4</v>
      </c>
      <c r="Q31" s="85">
        <v>5</v>
      </c>
      <c r="R31" s="85">
        <v>5</v>
      </c>
      <c r="S31" s="85">
        <v>6</v>
      </c>
      <c r="T31" s="85">
        <v>6</v>
      </c>
      <c r="U31" s="9"/>
      <c r="V31" s="1"/>
      <c r="W31" s="7" t="s">
        <v>68</v>
      </c>
      <c r="X31" s="74">
        <v>90000</v>
      </c>
      <c r="Y31" s="51"/>
      <c r="Z31" s="57">
        <f t="shared" si="15"/>
        <v>27000</v>
      </c>
      <c r="AA31" s="57">
        <f t="shared" si="15"/>
        <v>27000</v>
      </c>
      <c r="AB31" s="57">
        <f t="shared" si="15"/>
        <v>27000</v>
      </c>
      <c r="AC31" s="57">
        <f t="shared" si="15"/>
        <v>27000</v>
      </c>
      <c r="AD31" s="57">
        <f t="shared" si="15"/>
        <v>54900</v>
      </c>
      <c r="AE31" s="57">
        <f t="shared" si="15"/>
        <v>55800</v>
      </c>
      <c r="AF31" s="57">
        <f t="shared" si="15"/>
        <v>56700</v>
      </c>
      <c r="AG31" s="57">
        <f t="shared" si="15"/>
        <v>57600</v>
      </c>
      <c r="AH31" s="57">
        <f t="shared" si="15"/>
        <v>87750</v>
      </c>
      <c r="AI31" s="57">
        <f t="shared" si="15"/>
        <v>89100</v>
      </c>
      <c r="AJ31" s="57">
        <f t="shared" si="15"/>
        <v>120600</v>
      </c>
      <c r="AK31" s="57">
        <f t="shared" si="15"/>
        <v>122400.00000000001</v>
      </c>
      <c r="AL31" s="57">
        <f t="shared" si="15"/>
        <v>155250</v>
      </c>
      <c r="AM31" s="57">
        <f t="shared" si="15"/>
        <v>157500.00000000003</v>
      </c>
      <c r="AN31" s="57">
        <f t="shared" si="15"/>
        <v>191700.00000000003</v>
      </c>
      <c r="AO31" s="57">
        <f t="shared" si="15"/>
        <v>194400.00000000003</v>
      </c>
    </row>
    <row r="32" spans="1:41" s="10" customFormat="1" x14ac:dyDescent="0.15">
      <c r="A32" s="1"/>
      <c r="B32" s="7" t="s">
        <v>97</v>
      </c>
      <c r="C32" s="52" t="s">
        <v>34</v>
      </c>
      <c r="D32" s="52"/>
      <c r="E32" s="85">
        <v>1</v>
      </c>
      <c r="F32" s="85">
        <v>1</v>
      </c>
      <c r="G32" s="85">
        <v>1</v>
      </c>
      <c r="H32" s="85">
        <v>1</v>
      </c>
      <c r="I32" s="85">
        <v>1</v>
      </c>
      <c r="J32" s="85">
        <v>1</v>
      </c>
      <c r="K32" s="85">
        <v>1</v>
      </c>
      <c r="L32" s="85">
        <v>1</v>
      </c>
      <c r="M32" s="85">
        <v>2</v>
      </c>
      <c r="N32" s="85">
        <v>2</v>
      </c>
      <c r="O32" s="85">
        <v>2</v>
      </c>
      <c r="P32" s="85">
        <v>2</v>
      </c>
      <c r="Q32" s="85">
        <v>3</v>
      </c>
      <c r="R32" s="85">
        <v>3</v>
      </c>
      <c r="S32" s="85">
        <v>3</v>
      </c>
      <c r="T32" s="85">
        <v>3</v>
      </c>
      <c r="U32" s="9"/>
      <c r="V32" s="1"/>
      <c r="W32" s="7" t="s">
        <v>97</v>
      </c>
      <c r="X32" s="74">
        <v>90000</v>
      </c>
      <c r="Y32" s="51"/>
      <c r="Z32" s="57">
        <f t="shared" si="15"/>
        <v>27000</v>
      </c>
      <c r="AA32" s="57">
        <f t="shared" si="15"/>
        <v>27000</v>
      </c>
      <c r="AB32" s="57">
        <f t="shared" si="15"/>
        <v>27000</v>
      </c>
      <c r="AC32" s="57">
        <f t="shared" si="15"/>
        <v>27000</v>
      </c>
      <c r="AD32" s="57">
        <f t="shared" si="15"/>
        <v>27450</v>
      </c>
      <c r="AE32" s="57">
        <f t="shared" si="15"/>
        <v>27900</v>
      </c>
      <c r="AF32" s="57">
        <f t="shared" si="15"/>
        <v>28350</v>
      </c>
      <c r="AG32" s="57">
        <f t="shared" si="15"/>
        <v>28800</v>
      </c>
      <c r="AH32" s="57">
        <f t="shared" si="15"/>
        <v>58500</v>
      </c>
      <c r="AI32" s="57">
        <f t="shared" si="15"/>
        <v>59400</v>
      </c>
      <c r="AJ32" s="57">
        <f t="shared" si="15"/>
        <v>60300</v>
      </c>
      <c r="AK32" s="57">
        <f t="shared" si="15"/>
        <v>61200.000000000007</v>
      </c>
      <c r="AL32" s="57">
        <f t="shared" si="15"/>
        <v>93150.000000000015</v>
      </c>
      <c r="AM32" s="57">
        <f t="shared" si="15"/>
        <v>94500.000000000015</v>
      </c>
      <c r="AN32" s="57">
        <f t="shared" si="15"/>
        <v>95850.000000000015</v>
      </c>
      <c r="AO32" s="57">
        <f t="shared" si="15"/>
        <v>97200.000000000015</v>
      </c>
    </row>
    <row r="33" spans="1:41" s="10" customFormat="1" x14ac:dyDescent="0.15">
      <c r="A33" s="1"/>
      <c r="B33" s="7" t="s">
        <v>203</v>
      </c>
      <c r="C33" s="52" t="s">
        <v>34</v>
      </c>
      <c r="D33" s="52"/>
      <c r="E33" s="86">
        <v>1</v>
      </c>
      <c r="F33" s="86">
        <v>1</v>
      </c>
      <c r="G33" s="86">
        <v>1</v>
      </c>
      <c r="H33" s="86">
        <v>1</v>
      </c>
      <c r="I33" s="86">
        <v>2</v>
      </c>
      <c r="J33" s="86">
        <v>2</v>
      </c>
      <c r="K33" s="86">
        <v>3</v>
      </c>
      <c r="L33" s="86">
        <v>3</v>
      </c>
      <c r="M33" s="86">
        <v>4</v>
      </c>
      <c r="N33" s="86">
        <v>4</v>
      </c>
      <c r="O33" s="86">
        <v>4</v>
      </c>
      <c r="P33" s="86">
        <v>4</v>
      </c>
      <c r="Q33" s="86">
        <v>5</v>
      </c>
      <c r="R33" s="86">
        <v>5</v>
      </c>
      <c r="S33" s="86">
        <v>5</v>
      </c>
      <c r="T33" s="86">
        <v>5</v>
      </c>
      <c r="U33" s="9"/>
      <c r="V33" s="1"/>
      <c r="W33" s="7" t="s">
        <v>203</v>
      </c>
      <c r="X33" s="74">
        <v>80000</v>
      </c>
      <c r="Y33" s="51"/>
      <c r="Z33" s="57">
        <f t="shared" si="15"/>
        <v>24000</v>
      </c>
      <c r="AA33" s="57">
        <f t="shared" si="15"/>
        <v>24000</v>
      </c>
      <c r="AB33" s="57">
        <f t="shared" si="15"/>
        <v>24000</v>
      </c>
      <c r="AC33" s="57">
        <f t="shared" si="15"/>
        <v>24000</v>
      </c>
      <c r="AD33" s="57">
        <f t="shared" si="15"/>
        <v>48800</v>
      </c>
      <c r="AE33" s="57">
        <f t="shared" si="15"/>
        <v>49600</v>
      </c>
      <c r="AF33" s="57">
        <f t="shared" si="15"/>
        <v>75600</v>
      </c>
      <c r="AG33" s="57">
        <f t="shared" si="15"/>
        <v>76800</v>
      </c>
      <c r="AH33" s="57">
        <f t="shared" si="15"/>
        <v>104000</v>
      </c>
      <c r="AI33" s="57">
        <f t="shared" si="15"/>
        <v>105600</v>
      </c>
      <c r="AJ33" s="57">
        <f t="shared" si="15"/>
        <v>107200</v>
      </c>
      <c r="AK33" s="57">
        <f t="shared" si="15"/>
        <v>108800.00000000001</v>
      </c>
      <c r="AL33" s="57">
        <f t="shared" si="15"/>
        <v>138000</v>
      </c>
      <c r="AM33" s="57">
        <f t="shared" si="15"/>
        <v>140000</v>
      </c>
      <c r="AN33" s="57">
        <f t="shared" si="15"/>
        <v>142000.00000000003</v>
      </c>
      <c r="AO33" s="57">
        <f t="shared" si="15"/>
        <v>144000.00000000003</v>
      </c>
    </row>
    <row r="34" spans="1:41" s="1" customFormat="1" x14ac:dyDescent="0.15">
      <c r="B34" s="4" t="s">
        <v>176</v>
      </c>
      <c r="C34" s="4"/>
      <c r="D34" s="4"/>
      <c r="E34" s="87">
        <f>SUM(E29:E33)</f>
        <v>4</v>
      </c>
      <c r="F34" s="87">
        <f t="shared" ref="F34:T34" si="16">SUM(F29:F33)</f>
        <v>4</v>
      </c>
      <c r="G34" s="87">
        <f t="shared" si="16"/>
        <v>4</v>
      </c>
      <c r="H34" s="87">
        <f t="shared" si="16"/>
        <v>4</v>
      </c>
      <c r="I34" s="87">
        <f t="shared" si="16"/>
        <v>7</v>
      </c>
      <c r="J34" s="87">
        <f t="shared" si="16"/>
        <v>7</v>
      </c>
      <c r="K34" s="87">
        <f t="shared" si="16"/>
        <v>8</v>
      </c>
      <c r="L34" s="87">
        <f t="shared" si="16"/>
        <v>8</v>
      </c>
      <c r="M34" s="87">
        <f t="shared" si="16"/>
        <v>11</v>
      </c>
      <c r="N34" s="87">
        <f t="shared" si="16"/>
        <v>11</v>
      </c>
      <c r="O34" s="87">
        <f t="shared" si="16"/>
        <v>12</v>
      </c>
      <c r="P34" s="87">
        <f t="shared" si="16"/>
        <v>12</v>
      </c>
      <c r="Q34" s="87">
        <f t="shared" si="16"/>
        <v>15</v>
      </c>
      <c r="R34" s="87">
        <f t="shared" si="16"/>
        <v>15</v>
      </c>
      <c r="S34" s="87">
        <f t="shared" si="16"/>
        <v>16</v>
      </c>
      <c r="T34" s="87">
        <f t="shared" si="16"/>
        <v>16</v>
      </c>
      <c r="W34" s="4" t="s">
        <v>176</v>
      </c>
      <c r="X34" s="39"/>
      <c r="Y34" s="88" t="s">
        <v>244</v>
      </c>
      <c r="Z34" s="89">
        <f>SUM(Z29:Z33)</f>
        <v>168000</v>
      </c>
      <c r="AA34" s="89">
        <f t="shared" ref="AA34:AO34" si="17">SUM(AA29:AA33)</f>
        <v>168000</v>
      </c>
      <c r="AB34" s="89">
        <f t="shared" si="17"/>
        <v>168000</v>
      </c>
      <c r="AC34" s="89">
        <f t="shared" si="17"/>
        <v>168000</v>
      </c>
      <c r="AD34" s="89">
        <f t="shared" si="17"/>
        <v>271450</v>
      </c>
      <c r="AE34" s="89">
        <f t="shared" si="17"/>
        <v>275900</v>
      </c>
      <c r="AF34" s="89">
        <f t="shared" si="17"/>
        <v>305550</v>
      </c>
      <c r="AG34" s="89">
        <f t="shared" si="17"/>
        <v>310400</v>
      </c>
      <c r="AH34" s="89">
        <f t="shared" si="17"/>
        <v>399750</v>
      </c>
      <c r="AI34" s="89">
        <f t="shared" si="17"/>
        <v>405900</v>
      </c>
      <c r="AJ34" s="89">
        <f t="shared" si="17"/>
        <v>442200</v>
      </c>
      <c r="AK34" s="89">
        <f t="shared" si="17"/>
        <v>448800.00000000006</v>
      </c>
      <c r="AL34" s="89">
        <f t="shared" si="17"/>
        <v>545100</v>
      </c>
      <c r="AM34" s="89">
        <f t="shared" si="17"/>
        <v>553000</v>
      </c>
      <c r="AN34" s="89">
        <f t="shared" si="17"/>
        <v>592850.00000000012</v>
      </c>
      <c r="AO34" s="89">
        <f t="shared" si="17"/>
        <v>601200.00000000012</v>
      </c>
    </row>
    <row r="35" spans="1:41" x14ac:dyDescent="0.15">
      <c r="R35" s="53"/>
      <c r="S35" s="53"/>
      <c r="T35" s="53"/>
    </row>
    <row r="36" spans="1:41" x14ac:dyDescent="0.15">
      <c r="A36" s="1" t="s">
        <v>204</v>
      </c>
      <c r="C36" s="5"/>
      <c r="E36" s="87">
        <f t="shared" ref="E36:T36" si="18">E12+E26+E19+E34</f>
        <v>17</v>
      </c>
      <c r="F36" s="87">
        <f t="shared" si="18"/>
        <v>18</v>
      </c>
      <c r="G36" s="87">
        <f t="shared" si="18"/>
        <v>22</v>
      </c>
      <c r="H36" s="87">
        <f t="shared" si="18"/>
        <v>24</v>
      </c>
      <c r="I36" s="87">
        <f t="shared" si="18"/>
        <v>35</v>
      </c>
      <c r="J36" s="87">
        <f t="shared" si="18"/>
        <v>38</v>
      </c>
      <c r="K36" s="87">
        <f t="shared" si="18"/>
        <v>44</v>
      </c>
      <c r="L36" s="87">
        <f t="shared" si="18"/>
        <v>46</v>
      </c>
      <c r="M36" s="87">
        <f t="shared" si="18"/>
        <v>58</v>
      </c>
      <c r="N36" s="87">
        <f t="shared" si="18"/>
        <v>64</v>
      </c>
      <c r="O36" s="87">
        <f t="shared" si="18"/>
        <v>74</v>
      </c>
      <c r="P36" s="87">
        <f t="shared" si="18"/>
        <v>78</v>
      </c>
      <c r="Q36" s="87">
        <f t="shared" si="18"/>
        <v>90</v>
      </c>
      <c r="R36" s="87">
        <f t="shared" si="18"/>
        <v>100</v>
      </c>
      <c r="S36" s="87">
        <f t="shared" si="18"/>
        <v>112</v>
      </c>
      <c r="T36" s="87">
        <f t="shared" si="18"/>
        <v>122</v>
      </c>
    </row>
    <row r="38" spans="1:41" x14ac:dyDescent="0.15">
      <c r="A38" s="1" t="s">
        <v>96</v>
      </c>
      <c r="C38" s="7" t="s">
        <v>6</v>
      </c>
      <c r="E38" s="91">
        <f>'P &amp; L by Qtr'!E6/'Staffing Plan'!E36/1000*4</f>
        <v>0</v>
      </c>
      <c r="F38" s="91">
        <f>'P &amp; L by Qtr'!F6/'Staffing Plan'!F36/1000*4</f>
        <v>46.444444444444443</v>
      </c>
      <c r="G38" s="91">
        <f>'P &amp; L by Qtr'!G6/'Staffing Plan'!G36/1000*4</f>
        <v>92.75454545454545</v>
      </c>
      <c r="H38" s="91">
        <f>'P &amp; L by Qtr'!H6/'Staffing Plan'!H36/1000*4</f>
        <v>144.10708333333335</v>
      </c>
      <c r="I38" s="91">
        <f>'P &amp; L by Qtr'!I6/'Staffing Plan'!I36/1000*4</f>
        <v>155.70689999999999</v>
      </c>
      <c r="J38" s="91">
        <f>'P &amp; L by Qtr'!J6/'Staffing Plan'!J36/1000*4</f>
        <v>181.36353750000001</v>
      </c>
      <c r="K38" s="91">
        <f>'P &amp; L by Qtr'!K6/'Staffing Plan'!K36/1000*4</f>
        <v>216.98031144886363</v>
      </c>
      <c r="L38" s="91">
        <f>'P &amp; L by Qtr'!L6/'Staffing Plan'!L36/1000*4</f>
        <v>275.60602214266299</v>
      </c>
      <c r="M38" s="91">
        <f>'P &amp; L by Qtr'!M6/'Staffing Plan'!M36/1000*4</f>
        <v>286.61626151093753</v>
      </c>
      <c r="N38" s="91">
        <f>'P &amp; L by Qtr'!N6/'Staffing Plan'!N36/1000*4</f>
        <v>311.69118764457278</v>
      </c>
      <c r="O38" s="91">
        <f>'P &amp; L by Qtr'!O6/'Staffing Plan'!O36/1000*4</f>
        <v>375.53546228094626</v>
      </c>
      <c r="P38" s="91">
        <f>'P &amp; L by Qtr'!P6/'Staffing Plan'!P36/1000*4</f>
        <v>486.76080767116053</v>
      </c>
      <c r="Q38" s="91">
        <f>'P &amp; L by Qtr'!Q6/'Staffing Plan'!Q36/1000*4</f>
        <v>474.19928720481107</v>
      </c>
      <c r="R38" s="91">
        <f>'P &amp; L by Qtr'!R6/'Staffing Plan'!R36/1000*4</f>
        <v>518.83239056011348</v>
      </c>
      <c r="S38" s="91">
        <f>'P &amp; L by Qtr'!S6/'Staffing Plan'!S36/1000*4</f>
        <v>519.06675985009622</v>
      </c>
      <c r="T38" s="91">
        <f>'P &amp; L by Qtr'!T6/'Staffing Plan'!T36/1000*4</f>
        <v>550.62215777090364</v>
      </c>
    </row>
    <row r="39" spans="1:41" x14ac:dyDescent="0.15">
      <c r="R39" s="53"/>
      <c r="S39" s="53"/>
      <c r="T39" s="53"/>
    </row>
  </sheetData>
  <phoneticPr fontId="0" type="noConversion"/>
  <printOptions gridLines="1" gridLinesSet="0"/>
  <pageMargins left="0.25" right="0.25" top="0.48" bottom="0.75" header="0.41" footer="0.5"/>
  <pageSetup fitToWidth="0" orientation="landscape" horizontalDpi="300" verticalDpi="300"/>
  <headerFooter alignWithMargins="0">
    <oddFooter>&amp;L&amp;A&amp;CPage &amp;P</oddFooter>
  </headerFooter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0"/>
  <sheetViews>
    <sheetView zoomScale="150" workbookViewId="0">
      <pane xSplit="2" ySplit="2" topLeftCell="C9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8.83203125" defaultRowHeight="13" x14ac:dyDescent="0.15"/>
  <cols>
    <col min="1" max="1" width="5.83203125" style="10" customWidth="1"/>
    <col min="2" max="2" width="18.5" style="10" bestFit="1" customWidth="1"/>
    <col min="3" max="3" width="8" style="10" bestFit="1" customWidth="1"/>
    <col min="4" max="4" width="11" style="56" bestFit="1" customWidth="1"/>
    <col min="5" max="5" width="9.33203125" style="9" customWidth="1"/>
    <col min="6" max="9" width="10.83203125" style="9" customWidth="1"/>
    <col min="10" max="12" width="10.83203125" style="9" bestFit="1" customWidth="1"/>
    <col min="13" max="13" width="10.6640625" style="9" bestFit="1" customWidth="1"/>
    <col min="14" max="17" width="10.83203125" style="9" bestFit="1" customWidth="1"/>
    <col min="18" max="20" width="10.83203125" style="10" bestFit="1" customWidth="1"/>
    <col min="21" max="16384" width="8.83203125" style="10"/>
  </cols>
  <sheetData>
    <row r="1" spans="1:20" s="4" customFormat="1" x14ac:dyDescent="0.15">
      <c r="A1" s="1" t="s">
        <v>238</v>
      </c>
      <c r="D1" s="3" t="s">
        <v>42</v>
      </c>
      <c r="E1" s="4" t="s">
        <v>73</v>
      </c>
      <c r="F1" s="4" t="s">
        <v>74</v>
      </c>
      <c r="G1" s="4" t="s">
        <v>75</v>
      </c>
      <c r="H1" s="4" t="s">
        <v>91</v>
      </c>
      <c r="I1" s="4" t="s">
        <v>73</v>
      </c>
      <c r="J1" s="4" t="s">
        <v>74</v>
      </c>
      <c r="K1" s="4" t="s">
        <v>75</v>
      </c>
      <c r="L1" s="4" t="s">
        <v>91</v>
      </c>
      <c r="M1" s="4" t="s">
        <v>73</v>
      </c>
      <c r="N1" s="4" t="s">
        <v>74</v>
      </c>
      <c r="O1" s="4" t="s">
        <v>75</v>
      </c>
      <c r="P1" s="4" t="s">
        <v>91</v>
      </c>
      <c r="Q1" s="4" t="s">
        <v>73</v>
      </c>
      <c r="R1" s="4" t="s">
        <v>74</v>
      </c>
      <c r="S1" s="4" t="s">
        <v>75</v>
      </c>
      <c r="T1" s="4" t="s">
        <v>91</v>
      </c>
    </row>
    <row r="2" spans="1:20" s="4" customFormat="1" x14ac:dyDescent="0.15">
      <c r="E2" s="4" t="s">
        <v>180</v>
      </c>
      <c r="F2" s="4" t="s">
        <v>180</v>
      </c>
      <c r="G2" s="4" t="s">
        <v>180</v>
      </c>
      <c r="H2" s="4" t="s">
        <v>180</v>
      </c>
      <c r="I2" s="4" t="s">
        <v>36</v>
      </c>
      <c r="J2" s="4" t="s">
        <v>36</v>
      </c>
      <c r="K2" s="4" t="s">
        <v>36</v>
      </c>
      <c r="L2" s="4" t="s">
        <v>36</v>
      </c>
      <c r="M2" s="4" t="s">
        <v>37</v>
      </c>
      <c r="N2" s="4" t="s">
        <v>37</v>
      </c>
      <c r="O2" s="4" t="s">
        <v>37</v>
      </c>
      <c r="P2" s="4" t="s">
        <v>37</v>
      </c>
      <c r="Q2" s="4" t="s">
        <v>38</v>
      </c>
      <c r="R2" s="4" t="s">
        <v>38</v>
      </c>
      <c r="S2" s="4" t="s">
        <v>38</v>
      </c>
      <c r="T2" s="4" t="s">
        <v>38</v>
      </c>
    </row>
    <row r="3" spans="1:20" s="6" customFormat="1" x14ac:dyDescent="0.15">
      <c r="A3" s="1" t="s">
        <v>232</v>
      </c>
      <c r="B3" s="7"/>
      <c r="C3" s="7"/>
      <c r="D3" s="5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0" s="64" customFormat="1" x14ac:dyDescent="0.15">
      <c r="A4" s="1"/>
      <c r="B4" s="7" t="s">
        <v>237</v>
      </c>
      <c r="C4" s="7"/>
      <c r="D4" s="15" t="s">
        <v>41</v>
      </c>
      <c r="E4" s="92">
        <f>'Staffing Plan'!Z12</f>
        <v>262500</v>
      </c>
      <c r="F4" s="92">
        <f>'Staffing Plan'!AA12</f>
        <v>280500</v>
      </c>
      <c r="G4" s="92">
        <f>'Staffing Plan'!AB12</f>
        <v>318000</v>
      </c>
      <c r="H4" s="92">
        <f>'Staffing Plan'!AC12</f>
        <v>373500</v>
      </c>
      <c r="I4" s="92">
        <f>'Staffing Plan'!AD12</f>
        <v>562725</v>
      </c>
      <c r="J4" s="92">
        <f>'Staffing Plan'!AE12</f>
        <v>668050</v>
      </c>
      <c r="K4" s="92">
        <f>'Staffing Plan'!AF12</f>
        <v>757575</v>
      </c>
      <c r="L4" s="92">
        <f>'Staffing Plan'!AG12</f>
        <v>849600</v>
      </c>
      <c r="M4" s="92">
        <f>'Staffing Plan'!AH12</f>
        <v>944125</v>
      </c>
      <c r="N4" s="92">
        <f>'Staffing Plan'!AI12</f>
        <v>1008150</v>
      </c>
      <c r="O4" s="92">
        <f>'Staffing Plan'!AJ12</f>
        <v>1127275</v>
      </c>
      <c r="P4" s="92">
        <f>'Staffing Plan'!AK12</f>
        <v>1144100</v>
      </c>
      <c r="Q4" s="92">
        <f>'Staffing Plan'!AL12</f>
        <v>1247175</v>
      </c>
      <c r="R4" s="92">
        <f>'Staffing Plan'!AM12</f>
        <v>1405250</v>
      </c>
      <c r="S4" s="92">
        <f>'Staffing Plan'!AN12</f>
        <v>1535375</v>
      </c>
      <c r="T4" s="92">
        <f>'Staffing Plan'!AO12</f>
        <v>1647000.0000000002</v>
      </c>
    </row>
    <row r="5" spans="1:20" x14ac:dyDescent="0.15">
      <c r="A5" s="1"/>
      <c r="B5" s="7" t="s">
        <v>98</v>
      </c>
      <c r="C5" s="67">
        <v>2000</v>
      </c>
      <c r="D5" s="18" t="s">
        <v>249</v>
      </c>
      <c r="E5" s="14">
        <f>'Staffing Plan'!E12*$C5*3</f>
        <v>36000</v>
      </c>
      <c r="F5" s="14">
        <f>'Staffing Plan'!F12*$C5*3</f>
        <v>42000</v>
      </c>
      <c r="G5" s="14">
        <f>'Staffing Plan'!G12*$C5*3</f>
        <v>48000</v>
      </c>
      <c r="H5" s="14">
        <f>'Staffing Plan'!H12*$C5*3</f>
        <v>60000</v>
      </c>
      <c r="I5" s="14">
        <f>'Staffing Plan'!I12*$C5*3</f>
        <v>84000</v>
      </c>
      <c r="J5" s="14">
        <f>'Staffing Plan'!J12*$C5*3</f>
        <v>102000</v>
      </c>
      <c r="K5" s="14">
        <f>'Staffing Plan'!K12*$C5*3</f>
        <v>114000</v>
      </c>
      <c r="L5" s="14">
        <f>'Staffing Plan'!L12*$C5*3</f>
        <v>126000</v>
      </c>
      <c r="M5" s="14">
        <f>'Staffing Plan'!M12*$C5*3</f>
        <v>138000</v>
      </c>
      <c r="N5" s="14">
        <f>'Staffing Plan'!N12*$C5*3</f>
        <v>144000</v>
      </c>
      <c r="O5" s="14">
        <f>'Staffing Plan'!O12*$C5*3</f>
        <v>162000</v>
      </c>
      <c r="P5" s="14">
        <f>'Staffing Plan'!P12*$C5*3</f>
        <v>162000</v>
      </c>
      <c r="Q5" s="14">
        <f>'Staffing Plan'!Q12*$C5*3</f>
        <v>174000</v>
      </c>
      <c r="R5" s="14">
        <f>'Staffing Plan'!R12*$C5*3</f>
        <v>192000</v>
      </c>
      <c r="S5" s="14">
        <f>'Staffing Plan'!S12*$C5*3</f>
        <v>210000</v>
      </c>
      <c r="T5" s="14">
        <f>'Staffing Plan'!T12*$C5*3</f>
        <v>222000</v>
      </c>
    </row>
    <row r="6" spans="1:20" x14ac:dyDescent="0.15">
      <c r="A6" s="1"/>
      <c r="B6" s="7" t="s">
        <v>250</v>
      </c>
      <c r="C6" s="7"/>
      <c r="D6" s="18" t="s">
        <v>239</v>
      </c>
      <c r="E6" s="93">
        <v>5000</v>
      </c>
      <c r="F6" s="93">
        <v>5000</v>
      </c>
      <c r="G6" s="93">
        <v>10000</v>
      </c>
      <c r="H6" s="93">
        <v>10000</v>
      </c>
      <c r="I6" s="93">
        <v>15000</v>
      </c>
      <c r="J6" s="93">
        <v>20000</v>
      </c>
      <c r="K6" s="93">
        <v>30000</v>
      </c>
      <c r="L6" s="93">
        <v>40000</v>
      </c>
      <c r="M6" s="93">
        <v>50000</v>
      </c>
      <c r="N6" s="93">
        <v>75000</v>
      </c>
      <c r="O6" s="93">
        <v>100000</v>
      </c>
      <c r="P6" s="93">
        <v>150000</v>
      </c>
      <c r="Q6" s="93">
        <v>200000</v>
      </c>
      <c r="R6" s="93">
        <v>250000</v>
      </c>
      <c r="S6" s="93">
        <v>300000</v>
      </c>
      <c r="T6" s="93">
        <v>350000</v>
      </c>
    </row>
    <row r="7" spans="1:20" s="1" customFormat="1" x14ac:dyDescent="0.15">
      <c r="B7" s="4" t="s">
        <v>247</v>
      </c>
      <c r="C7" s="4"/>
      <c r="D7" s="88" t="s">
        <v>33</v>
      </c>
      <c r="E7" s="94">
        <f>SUM(E4:E6)</f>
        <v>303500</v>
      </c>
      <c r="F7" s="94">
        <f t="shared" ref="F7:T7" si="0">SUM(F4:F6)</f>
        <v>327500</v>
      </c>
      <c r="G7" s="94">
        <f t="shared" si="0"/>
        <v>376000</v>
      </c>
      <c r="H7" s="94">
        <f t="shared" si="0"/>
        <v>443500</v>
      </c>
      <c r="I7" s="94">
        <f t="shared" si="0"/>
        <v>661725</v>
      </c>
      <c r="J7" s="94">
        <f t="shared" si="0"/>
        <v>790050</v>
      </c>
      <c r="K7" s="94">
        <f t="shared" si="0"/>
        <v>901575</v>
      </c>
      <c r="L7" s="94">
        <f t="shared" si="0"/>
        <v>1015600</v>
      </c>
      <c r="M7" s="94">
        <f t="shared" si="0"/>
        <v>1132125</v>
      </c>
      <c r="N7" s="94">
        <f t="shared" si="0"/>
        <v>1227150</v>
      </c>
      <c r="O7" s="94">
        <f t="shared" si="0"/>
        <v>1389275</v>
      </c>
      <c r="P7" s="94">
        <f t="shared" si="0"/>
        <v>1456100</v>
      </c>
      <c r="Q7" s="94">
        <f t="shared" si="0"/>
        <v>1621175</v>
      </c>
      <c r="R7" s="94">
        <f t="shared" si="0"/>
        <v>1847250</v>
      </c>
      <c r="S7" s="94">
        <f t="shared" si="0"/>
        <v>2045375</v>
      </c>
      <c r="T7" s="94">
        <f t="shared" si="0"/>
        <v>2219000</v>
      </c>
    </row>
    <row r="8" spans="1:20" s="6" customFormat="1" x14ac:dyDescent="0.15">
      <c r="A8" s="1"/>
      <c r="B8" s="7"/>
      <c r="C8" s="7"/>
      <c r="D8" s="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s="6" customFormat="1" x14ac:dyDescent="0.15">
      <c r="A9" s="1" t="s">
        <v>170</v>
      </c>
      <c r="B9" s="7"/>
      <c r="C9" s="7"/>
      <c r="D9" s="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s="16" customFormat="1" x14ac:dyDescent="0.15">
      <c r="A10" s="1"/>
      <c r="B10" s="7" t="s">
        <v>237</v>
      </c>
      <c r="C10" s="7"/>
      <c r="D10" s="15" t="s">
        <v>41</v>
      </c>
      <c r="E10" s="37">
        <f>'Staffing Plan'!Z19</f>
        <v>157500</v>
      </c>
      <c r="F10" s="37">
        <f>'Staffing Plan'!AA19</f>
        <v>157500</v>
      </c>
      <c r="G10" s="37">
        <f>'Staffing Plan'!AB19</f>
        <v>229500</v>
      </c>
      <c r="H10" s="37">
        <f>'Staffing Plan'!AC19</f>
        <v>229500</v>
      </c>
      <c r="I10" s="37">
        <f>'Staffing Plan'!AD19</f>
        <v>324825</v>
      </c>
      <c r="J10" s="37">
        <f>'Staffing Plan'!AE19</f>
        <v>330150</v>
      </c>
      <c r="K10" s="37">
        <f>'Staffing Plan'!AF19</f>
        <v>411075</v>
      </c>
      <c r="L10" s="37">
        <f>'Staffing Plan'!AG19</f>
        <v>417600</v>
      </c>
      <c r="M10" s="37">
        <f>'Staffing Plan'!AH19</f>
        <v>599625</v>
      </c>
      <c r="N10" s="37">
        <f>'Staffing Plan'!AI19</f>
        <v>767250</v>
      </c>
      <c r="O10" s="37">
        <f>'Staffing Plan'!AJ19</f>
        <v>959775</v>
      </c>
      <c r="P10" s="37">
        <f>'Staffing Plan'!AK19</f>
        <v>1137300</v>
      </c>
      <c r="Q10" s="37">
        <f>'Staffing Plan'!AL19</f>
        <v>1319625.0000000002</v>
      </c>
      <c r="R10" s="37">
        <f>'Staffing Plan'!AM19</f>
        <v>1611750.0000000002</v>
      </c>
      <c r="S10" s="37">
        <f>'Staffing Plan'!AN19</f>
        <v>1890375.0000000005</v>
      </c>
      <c r="T10" s="37">
        <f>'Staffing Plan'!AO19</f>
        <v>2262600.0000000005</v>
      </c>
    </row>
    <row r="11" spans="1:20" x14ac:dyDescent="0.15">
      <c r="A11" s="1"/>
      <c r="B11" s="7" t="s">
        <v>95</v>
      </c>
      <c r="C11" s="67">
        <v>3000</v>
      </c>
      <c r="D11" s="18" t="s">
        <v>249</v>
      </c>
      <c r="E11" s="14">
        <f>'Staffing Plan'!E16*$C11*3</f>
        <v>9000</v>
      </c>
      <c r="F11" s="14">
        <f>'Staffing Plan'!F16*$C11*3</f>
        <v>9000</v>
      </c>
      <c r="G11" s="14">
        <f>'Staffing Plan'!G16*$C11*3</f>
        <v>18000</v>
      </c>
      <c r="H11" s="14">
        <f>'Staffing Plan'!H16*$C11*3</f>
        <v>18000</v>
      </c>
      <c r="I11" s="14">
        <f>'Staffing Plan'!I16*$C11*3</f>
        <v>27000</v>
      </c>
      <c r="J11" s="14">
        <f>'Staffing Plan'!J16*$C11*3</f>
        <v>27000</v>
      </c>
      <c r="K11" s="14">
        <f>'Staffing Plan'!K16*$C11*3</f>
        <v>36000</v>
      </c>
      <c r="L11" s="14">
        <f>'Staffing Plan'!L16*$C11*3</f>
        <v>36000</v>
      </c>
      <c r="M11" s="14">
        <f>'Staffing Plan'!M16*$C11*3</f>
        <v>54000</v>
      </c>
      <c r="N11" s="14">
        <f>'Staffing Plan'!N16*$C11*3</f>
        <v>72000</v>
      </c>
      <c r="O11" s="14">
        <f>'Staffing Plan'!O16*$C11*3</f>
        <v>90000</v>
      </c>
      <c r="P11" s="14">
        <f>'Staffing Plan'!P16*$C11*3</f>
        <v>108000</v>
      </c>
      <c r="Q11" s="14">
        <f>'Staffing Plan'!Q16*$C11*3</f>
        <v>126000</v>
      </c>
      <c r="R11" s="14">
        <f>'Staffing Plan'!R16*$C11*3</f>
        <v>153000</v>
      </c>
      <c r="S11" s="14">
        <f>'Staffing Plan'!S16*$C11*3</f>
        <v>180000</v>
      </c>
      <c r="T11" s="14">
        <f>'Staffing Plan'!T16*$C11*3</f>
        <v>216000</v>
      </c>
    </row>
    <row r="12" spans="1:20" x14ac:dyDescent="0.15">
      <c r="A12" s="1"/>
      <c r="B12" s="7" t="s">
        <v>250</v>
      </c>
      <c r="C12" s="7"/>
      <c r="D12" s="18" t="s">
        <v>239</v>
      </c>
      <c r="E12" s="93">
        <v>15000</v>
      </c>
      <c r="F12" s="93">
        <v>15000</v>
      </c>
      <c r="G12" s="93">
        <v>15000</v>
      </c>
      <c r="H12" s="93">
        <v>20000</v>
      </c>
      <c r="I12" s="93">
        <v>20000</v>
      </c>
      <c r="J12" s="93">
        <v>20000</v>
      </c>
      <c r="K12" s="93">
        <v>30000</v>
      </c>
      <c r="L12" s="93">
        <v>30000</v>
      </c>
      <c r="M12" s="93">
        <v>30000</v>
      </c>
      <c r="N12" s="93">
        <v>30000</v>
      </c>
      <c r="O12" s="93">
        <v>40000</v>
      </c>
      <c r="P12" s="93">
        <v>40000</v>
      </c>
      <c r="Q12" s="93">
        <v>50000</v>
      </c>
      <c r="R12" s="93">
        <v>60000</v>
      </c>
      <c r="S12" s="93">
        <v>70000</v>
      </c>
      <c r="T12" s="93">
        <v>60000</v>
      </c>
    </row>
    <row r="13" spans="1:20" s="1" customFormat="1" x14ac:dyDescent="0.15">
      <c r="B13" s="4" t="s">
        <v>173</v>
      </c>
      <c r="C13" s="4"/>
      <c r="D13" s="88" t="s">
        <v>33</v>
      </c>
      <c r="E13" s="95">
        <f t="shared" ref="E13:T13" si="1">SUM(E10:E12)</f>
        <v>181500</v>
      </c>
      <c r="F13" s="95">
        <f t="shared" si="1"/>
        <v>181500</v>
      </c>
      <c r="G13" s="95">
        <f t="shared" si="1"/>
        <v>262500</v>
      </c>
      <c r="H13" s="95">
        <f t="shared" si="1"/>
        <v>267500</v>
      </c>
      <c r="I13" s="95">
        <f t="shared" si="1"/>
        <v>371825</v>
      </c>
      <c r="J13" s="95">
        <f t="shared" si="1"/>
        <v>377150</v>
      </c>
      <c r="K13" s="95">
        <f t="shared" si="1"/>
        <v>477075</v>
      </c>
      <c r="L13" s="95">
        <f t="shared" si="1"/>
        <v>483600</v>
      </c>
      <c r="M13" s="95">
        <f t="shared" si="1"/>
        <v>683625</v>
      </c>
      <c r="N13" s="95">
        <f t="shared" si="1"/>
        <v>869250</v>
      </c>
      <c r="O13" s="95">
        <f t="shared" si="1"/>
        <v>1089775</v>
      </c>
      <c r="P13" s="95">
        <f t="shared" si="1"/>
        <v>1285300</v>
      </c>
      <c r="Q13" s="95">
        <f t="shared" si="1"/>
        <v>1495625.0000000002</v>
      </c>
      <c r="R13" s="95">
        <f t="shared" si="1"/>
        <v>1824750.0000000002</v>
      </c>
      <c r="S13" s="95">
        <f t="shared" si="1"/>
        <v>2140375.0000000005</v>
      </c>
      <c r="T13" s="95">
        <f t="shared" si="1"/>
        <v>2538600.0000000005</v>
      </c>
    </row>
    <row r="14" spans="1:20" s="6" customFormat="1" x14ac:dyDescent="0.15">
      <c r="A14" s="1"/>
      <c r="B14" s="7"/>
      <c r="C14" s="7"/>
      <c r="D14" s="5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s="6" customFormat="1" x14ac:dyDescent="0.15">
      <c r="A15" s="1" t="s">
        <v>113</v>
      </c>
      <c r="B15" s="7"/>
      <c r="C15" s="7"/>
      <c r="D15" s="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s="16" customFormat="1" x14ac:dyDescent="0.15">
      <c r="A16" s="1"/>
      <c r="B16" s="7" t="s">
        <v>237</v>
      </c>
      <c r="C16" s="7"/>
      <c r="D16" s="15" t="s">
        <v>41</v>
      </c>
      <c r="E16" s="37">
        <f>'Staffing Plan'!Z26</f>
        <v>123000</v>
      </c>
      <c r="F16" s="37">
        <f>'Staffing Plan'!AA26</f>
        <v>123000</v>
      </c>
      <c r="G16" s="37">
        <f>'Staffing Plan'!AB26</f>
        <v>145500</v>
      </c>
      <c r="H16" s="37">
        <f>'Staffing Plan'!AC26</f>
        <v>145500</v>
      </c>
      <c r="I16" s="37">
        <f>'Staffing Plan'!AD26</f>
        <v>172325</v>
      </c>
      <c r="J16" s="37">
        <f>'Staffing Plan'!AE26</f>
        <v>175150</v>
      </c>
      <c r="K16" s="37">
        <f>'Staffing Plan'!AF26</f>
        <v>201600</v>
      </c>
      <c r="L16" s="37">
        <f>'Staffing Plan'!AG26</f>
        <v>204800</v>
      </c>
      <c r="M16" s="37">
        <f>'Staffing Plan'!AH26</f>
        <v>276250</v>
      </c>
      <c r="N16" s="37">
        <f>'Staffing Plan'!AI26</f>
        <v>305250</v>
      </c>
      <c r="O16" s="37">
        <f>'Staffing Plan'!AJ26</f>
        <v>353425</v>
      </c>
      <c r="P16" s="37">
        <f>'Staffing Plan'!AK26</f>
        <v>358700</v>
      </c>
      <c r="Q16" s="37">
        <f>'Staffing Plan'!AL26</f>
        <v>462300.00000000006</v>
      </c>
      <c r="R16" s="37">
        <f>'Staffing Plan'!AM26</f>
        <v>469000.00000000006</v>
      </c>
      <c r="S16" s="37">
        <f>'Staffing Plan'!AN26</f>
        <v>548475.00000000012</v>
      </c>
      <c r="T16" s="37">
        <f>'Staffing Plan'!AO26</f>
        <v>556200.00000000012</v>
      </c>
    </row>
    <row r="17" spans="1:20" x14ac:dyDescent="0.15">
      <c r="A17" s="1"/>
      <c r="B17" s="7" t="s">
        <v>67</v>
      </c>
      <c r="C17" s="7"/>
      <c r="D17" s="18" t="s">
        <v>239</v>
      </c>
      <c r="E17" s="74">
        <v>5000</v>
      </c>
      <c r="F17" s="74">
        <v>5000</v>
      </c>
      <c r="G17" s="74">
        <v>10000</v>
      </c>
      <c r="H17" s="74">
        <v>10000</v>
      </c>
      <c r="I17" s="74">
        <v>20000</v>
      </c>
      <c r="J17" s="74">
        <v>20000</v>
      </c>
      <c r="K17" s="74">
        <v>40000</v>
      </c>
      <c r="L17" s="74">
        <v>60000</v>
      </c>
      <c r="M17" s="74">
        <v>80000</v>
      </c>
      <c r="N17" s="74">
        <v>80000</v>
      </c>
      <c r="O17" s="74">
        <v>100000</v>
      </c>
      <c r="P17" s="74">
        <v>100000</v>
      </c>
      <c r="Q17" s="74">
        <v>120000</v>
      </c>
      <c r="R17" s="74">
        <v>120000</v>
      </c>
      <c r="S17" s="74">
        <v>140000</v>
      </c>
      <c r="T17" s="74">
        <v>140000</v>
      </c>
    </row>
    <row r="18" spans="1:20" x14ac:dyDescent="0.15">
      <c r="A18" s="1"/>
      <c r="B18" s="7" t="s">
        <v>177</v>
      </c>
      <c r="C18" s="7"/>
      <c r="D18" s="18" t="s">
        <v>239</v>
      </c>
      <c r="E18" s="74">
        <v>0</v>
      </c>
      <c r="F18" s="74">
        <v>25000</v>
      </c>
      <c r="G18" s="74">
        <v>0</v>
      </c>
      <c r="H18" s="74">
        <v>50000</v>
      </c>
      <c r="I18" s="74">
        <v>0</v>
      </c>
      <c r="J18" s="74">
        <v>75000</v>
      </c>
      <c r="K18" s="74">
        <v>0</v>
      </c>
      <c r="L18" s="74">
        <v>100000</v>
      </c>
      <c r="M18" s="74">
        <v>0</v>
      </c>
      <c r="N18" s="74">
        <v>125000</v>
      </c>
      <c r="O18" s="74">
        <v>0</v>
      </c>
      <c r="P18" s="74">
        <v>150000</v>
      </c>
      <c r="Q18" s="74">
        <v>0</v>
      </c>
      <c r="R18" s="74">
        <v>200000</v>
      </c>
      <c r="S18" s="74">
        <v>0</v>
      </c>
      <c r="T18" s="74">
        <v>250000</v>
      </c>
    </row>
    <row r="19" spans="1:20" x14ac:dyDescent="0.15">
      <c r="A19" s="1"/>
      <c r="B19" s="7" t="s">
        <v>250</v>
      </c>
      <c r="C19" s="7"/>
      <c r="D19" s="18" t="s">
        <v>239</v>
      </c>
      <c r="E19" s="93">
        <v>20000</v>
      </c>
      <c r="F19" s="93">
        <v>20000</v>
      </c>
      <c r="G19" s="93">
        <v>40000</v>
      </c>
      <c r="H19" s="93">
        <v>60000</v>
      </c>
      <c r="I19" s="93">
        <v>100000</v>
      </c>
      <c r="J19" s="93">
        <v>125000</v>
      </c>
      <c r="K19" s="93">
        <v>150000</v>
      </c>
      <c r="L19" s="93">
        <v>175000</v>
      </c>
      <c r="M19" s="93">
        <v>200000</v>
      </c>
      <c r="N19" s="93">
        <v>225000</v>
      </c>
      <c r="O19" s="93">
        <v>250000</v>
      </c>
      <c r="P19" s="93">
        <v>275000</v>
      </c>
      <c r="Q19" s="93">
        <v>300000</v>
      </c>
      <c r="R19" s="93">
        <v>350000</v>
      </c>
      <c r="S19" s="93">
        <v>400000</v>
      </c>
      <c r="T19" s="93">
        <v>350000</v>
      </c>
    </row>
    <row r="20" spans="1:20" s="1" customFormat="1" x14ac:dyDescent="0.15">
      <c r="B20" s="4" t="s">
        <v>248</v>
      </c>
      <c r="C20" s="4"/>
      <c r="D20" s="88" t="s">
        <v>33</v>
      </c>
      <c r="E20" s="95">
        <f>SUM(E16:E19)</f>
        <v>148000</v>
      </c>
      <c r="F20" s="95">
        <f t="shared" ref="F20:T20" si="2">SUM(F16:F19)</f>
        <v>173000</v>
      </c>
      <c r="G20" s="95">
        <f t="shared" si="2"/>
        <v>195500</v>
      </c>
      <c r="H20" s="95">
        <f t="shared" si="2"/>
        <v>265500</v>
      </c>
      <c r="I20" s="95">
        <f t="shared" si="2"/>
        <v>292325</v>
      </c>
      <c r="J20" s="95">
        <f t="shared" si="2"/>
        <v>395150</v>
      </c>
      <c r="K20" s="95">
        <f t="shared" si="2"/>
        <v>391600</v>
      </c>
      <c r="L20" s="95">
        <f t="shared" si="2"/>
        <v>539800</v>
      </c>
      <c r="M20" s="95">
        <f t="shared" si="2"/>
        <v>556250</v>
      </c>
      <c r="N20" s="95">
        <f t="shared" si="2"/>
        <v>735250</v>
      </c>
      <c r="O20" s="95">
        <f t="shared" si="2"/>
        <v>703425</v>
      </c>
      <c r="P20" s="95">
        <f t="shared" si="2"/>
        <v>883700</v>
      </c>
      <c r="Q20" s="95">
        <f t="shared" si="2"/>
        <v>882300</v>
      </c>
      <c r="R20" s="95">
        <f t="shared" si="2"/>
        <v>1139000</v>
      </c>
      <c r="S20" s="95">
        <f t="shared" si="2"/>
        <v>1088475</v>
      </c>
      <c r="T20" s="95">
        <f t="shared" si="2"/>
        <v>1296200</v>
      </c>
    </row>
    <row r="21" spans="1:20" s="6" customFormat="1" x14ac:dyDescent="0.15">
      <c r="A21" s="1"/>
      <c r="B21" s="7"/>
      <c r="C21" s="7"/>
      <c r="D21" s="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6" customFormat="1" x14ac:dyDescent="0.15">
      <c r="A22" s="1" t="s">
        <v>174</v>
      </c>
      <c r="B22" s="7"/>
      <c r="C22" s="7"/>
      <c r="D22" s="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16" customFormat="1" x14ac:dyDescent="0.15">
      <c r="A23" s="1"/>
      <c r="B23" s="7" t="s">
        <v>237</v>
      </c>
      <c r="C23" s="7"/>
      <c r="D23" s="15" t="s">
        <v>41</v>
      </c>
      <c r="E23" s="37">
        <f>'Staffing Plan'!Z34</f>
        <v>168000</v>
      </c>
      <c r="F23" s="37">
        <f>'Staffing Plan'!AA34</f>
        <v>168000</v>
      </c>
      <c r="G23" s="37">
        <f>'Staffing Plan'!AB34</f>
        <v>168000</v>
      </c>
      <c r="H23" s="37">
        <f>'Staffing Plan'!AC34</f>
        <v>168000</v>
      </c>
      <c r="I23" s="37">
        <f>'Staffing Plan'!AD34</f>
        <v>271450</v>
      </c>
      <c r="J23" s="37">
        <f>'Staffing Plan'!AE34</f>
        <v>275900</v>
      </c>
      <c r="K23" s="37">
        <f>'Staffing Plan'!AF34</f>
        <v>305550</v>
      </c>
      <c r="L23" s="37">
        <f>'Staffing Plan'!AG34</f>
        <v>310400</v>
      </c>
      <c r="M23" s="37">
        <f>'Staffing Plan'!AH34</f>
        <v>399750</v>
      </c>
      <c r="N23" s="37">
        <f>'Staffing Plan'!AI34</f>
        <v>405900</v>
      </c>
      <c r="O23" s="37">
        <f>'Staffing Plan'!AJ34</f>
        <v>442200</v>
      </c>
      <c r="P23" s="37">
        <f>'Staffing Plan'!AK34</f>
        <v>448800.00000000006</v>
      </c>
      <c r="Q23" s="37">
        <f>'Staffing Plan'!AL34</f>
        <v>545100</v>
      </c>
      <c r="R23" s="37">
        <f>'Staffing Plan'!AM34</f>
        <v>553000</v>
      </c>
      <c r="S23" s="37">
        <f>'Staffing Plan'!AN34</f>
        <v>592850.00000000012</v>
      </c>
      <c r="T23" s="37">
        <f>'Staffing Plan'!AO34</f>
        <v>601200.00000000012</v>
      </c>
    </row>
    <row r="24" spans="1:20" s="16" customFormat="1" x14ac:dyDescent="0.15">
      <c r="A24" s="1"/>
      <c r="B24" s="7" t="s">
        <v>65</v>
      </c>
      <c r="C24" s="67"/>
      <c r="D24" s="15"/>
      <c r="E24" s="74">
        <v>30000</v>
      </c>
      <c r="F24" s="74">
        <v>30000</v>
      </c>
      <c r="G24" s="74">
        <v>30000</v>
      </c>
      <c r="H24" s="74">
        <v>30000</v>
      </c>
      <c r="I24" s="74">
        <v>50000</v>
      </c>
      <c r="J24" s="74">
        <v>50000</v>
      </c>
      <c r="K24" s="74">
        <v>50000</v>
      </c>
      <c r="L24" s="74">
        <v>50000</v>
      </c>
      <c r="M24" s="74">
        <v>75000</v>
      </c>
      <c r="N24" s="74">
        <v>75000</v>
      </c>
      <c r="O24" s="74">
        <v>75000</v>
      </c>
      <c r="P24" s="74">
        <v>75000</v>
      </c>
      <c r="Q24" s="74">
        <v>100000</v>
      </c>
      <c r="R24" s="74">
        <v>100000</v>
      </c>
      <c r="S24" s="74">
        <v>100000</v>
      </c>
      <c r="T24" s="74">
        <v>100000</v>
      </c>
    </row>
    <row r="25" spans="1:20" s="16" customFormat="1" x14ac:dyDescent="0.15">
      <c r="A25" s="1"/>
      <c r="B25" s="7" t="s">
        <v>66</v>
      </c>
      <c r="C25" s="67"/>
      <c r="D25" s="15" t="s">
        <v>253</v>
      </c>
      <c r="E25" s="37">
        <f>E40</f>
        <v>100000</v>
      </c>
      <c r="F25" s="37">
        <f t="shared" ref="F25:P25" si="3">F40</f>
        <v>100000</v>
      </c>
      <c r="G25" s="37">
        <f t="shared" si="3"/>
        <v>100000</v>
      </c>
      <c r="H25" s="37">
        <f t="shared" si="3"/>
        <v>100000</v>
      </c>
      <c r="I25" s="37">
        <f t="shared" si="3"/>
        <v>100000</v>
      </c>
      <c r="J25" s="37">
        <f t="shared" si="3"/>
        <v>100000</v>
      </c>
      <c r="K25" s="37">
        <f t="shared" si="3"/>
        <v>100000</v>
      </c>
      <c r="L25" s="37">
        <f t="shared" si="3"/>
        <v>100000</v>
      </c>
      <c r="M25" s="37">
        <f t="shared" si="3"/>
        <v>225000</v>
      </c>
      <c r="N25" s="37">
        <f t="shared" si="3"/>
        <v>225000</v>
      </c>
      <c r="O25" s="37">
        <f t="shared" si="3"/>
        <v>225000</v>
      </c>
      <c r="P25" s="37">
        <f t="shared" si="3"/>
        <v>225000</v>
      </c>
      <c r="Q25" s="37">
        <v>300000</v>
      </c>
      <c r="R25" s="37">
        <v>300000</v>
      </c>
      <c r="S25" s="37">
        <v>300000</v>
      </c>
      <c r="T25" s="37">
        <v>300000</v>
      </c>
    </row>
    <row r="26" spans="1:20" x14ac:dyDescent="0.15">
      <c r="A26" s="1"/>
      <c r="B26" s="7" t="s">
        <v>158</v>
      </c>
      <c r="C26" s="67">
        <v>200</v>
      </c>
      <c r="D26" s="18" t="s">
        <v>249</v>
      </c>
      <c r="E26" s="14">
        <f>'Staffing Plan'!E36*$C26*3</f>
        <v>10200</v>
      </c>
      <c r="F26" s="14">
        <f>'Staffing Plan'!F36*$C26*3</f>
        <v>10800</v>
      </c>
      <c r="G26" s="14">
        <f>'Staffing Plan'!G36*$C26*3</f>
        <v>13200</v>
      </c>
      <c r="H26" s="14">
        <f>'Staffing Plan'!H36*$C26*3</f>
        <v>14400</v>
      </c>
      <c r="I26" s="14">
        <f>'Staffing Plan'!I36*$C26*3</f>
        <v>21000</v>
      </c>
      <c r="J26" s="14">
        <f>'Staffing Plan'!J36*$C26*3</f>
        <v>22800</v>
      </c>
      <c r="K26" s="14">
        <f>'Staffing Plan'!K36*$C26*3</f>
        <v>26400</v>
      </c>
      <c r="L26" s="14">
        <f>'Staffing Plan'!L36*$C26*3</f>
        <v>27600</v>
      </c>
      <c r="M26" s="14">
        <f>'Staffing Plan'!M36*$C26*3</f>
        <v>34800</v>
      </c>
      <c r="N26" s="14">
        <f>'Staffing Plan'!N36*$C26*3</f>
        <v>38400</v>
      </c>
      <c r="O26" s="14">
        <f>'Staffing Plan'!O36*$C26*3</f>
        <v>44400</v>
      </c>
      <c r="P26" s="14">
        <f>'Staffing Plan'!P36*$C26*3</f>
        <v>46800</v>
      </c>
      <c r="Q26" s="14">
        <f>'Staffing Plan'!Q36*$C26*3</f>
        <v>54000</v>
      </c>
      <c r="R26" s="14">
        <f>'Staffing Plan'!R36*$C26*3</f>
        <v>60000</v>
      </c>
      <c r="S26" s="14">
        <f>'Staffing Plan'!S36*200</f>
        <v>22400</v>
      </c>
      <c r="T26" s="14">
        <f>'Staffing Plan'!T36*$C26*3</f>
        <v>73200</v>
      </c>
    </row>
    <row r="27" spans="1:20" x14ac:dyDescent="0.15">
      <c r="A27" s="1"/>
      <c r="B27" s="7" t="s">
        <v>250</v>
      </c>
      <c r="C27" s="7"/>
      <c r="D27" s="18" t="s">
        <v>239</v>
      </c>
      <c r="E27" s="93">
        <v>15000</v>
      </c>
      <c r="F27" s="93">
        <v>20000</v>
      </c>
      <c r="G27" s="93">
        <v>25000</v>
      </c>
      <c r="H27" s="93">
        <v>30000</v>
      </c>
      <c r="I27" s="93">
        <v>40000</v>
      </c>
      <c r="J27" s="93">
        <v>40000</v>
      </c>
      <c r="K27" s="93">
        <v>40000</v>
      </c>
      <c r="L27" s="93">
        <v>40000</v>
      </c>
      <c r="M27" s="93">
        <v>50000</v>
      </c>
      <c r="N27" s="93">
        <v>50000</v>
      </c>
      <c r="O27" s="93">
        <v>50000</v>
      </c>
      <c r="P27" s="93">
        <v>50000</v>
      </c>
      <c r="Q27" s="93">
        <v>60000</v>
      </c>
      <c r="R27" s="93">
        <v>70000</v>
      </c>
      <c r="S27" s="93">
        <v>80000</v>
      </c>
      <c r="T27" s="93">
        <v>90000</v>
      </c>
    </row>
    <row r="28" spans="1:20" s="1" customFormat="1" x14ac:dyDescent="0.15">
      <c r="B28" s="4" t="s">
        <v>176</v>
      </c>
      <c r="C28" s="4"/>
      <c r="D28" s="88" t="s">
        <v>33</v>
      </c>
      <c r="E28" s="95">
        <f>SUM(E23:E27)</f>
        <v>323200</v>
      </c>
      <c r="F28" s="95">
        <f t="shared" ref="F28:T28" si="4">SUM(F23:F27)</f>
        <v>328800</v>
      </c>
      <c r="G28" s="95">
        <f t="shared" si="4"/>
        <v>336200</v>
      </c>
      <c r="H28" s="95">
        <f t="shared" si="4"/>
        <v>342400</v>
      </c>
      <c r="I28" s="95">
        <f t="shared" si="4"/>
        <v>482450</v>
      </c>
      <c r="J28" s="95">
        <f t="shared" si="4"/>
        <v>488700</v>
      </c>
      <c r="K28" s="95">
        <f t="shared" si="4"/>
        <v>521950</v>
      </c>
      <c r="L28" s="95">
        <f t="shared" si="4"/>
        <v>528000</v>
      </c>
      <c r="M28" s="95">
        <f t="shared" si="4"/>
        <v>784550</v>
      </c>
      <c r="N28" s="95">
        <f t="shared" si="4"/>
        <v>794300</v>
      </c>
      <c r="O28" s="95">
        <f t="shared" si="4"/>
        <v>836600</v>
      </c>
      <c r="P28" s="95">
        <f t="shared" si="4"/>
        <v>845600</v>
      </c>
      <c r="Q28" s="95">
        <f t="shared" si="4"/>
        <v>1059100</v>
      </c>
      <c r="R28" s="95">
        <f t="shared" si="4"/>
        <v>1083000</v>
      </c>
      <c r="S28" s="95">
        <f t="shared" si="4"/>
        <v>1095250</v>
      </c>
      <c r="T28" s="95">
        <f t="shared" si="4"/>
        <v>1164400</v>
      </c>
    </row>
    <row r="29" spans="1:20" s="6" customFormat="1" x14ac:dyDescent="0.15">
      <c r="A29" s="1"/>
      <c r="B29" s="7"/>
      <c r="C29" s="7"/>
      <c r="D29" s="5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s="6" customFormat="1" x14ac:dyDescent="0.15">
      <c r="A30" s="1" t="s">
        <v>246</v>
      </c>
      <c r="B30" s="7"/>
      <c r="C30" s="7"/>
      <c r="D30" s="5"/>
      <c r="E30" s="39">
        <f t="shared" ref="E30:T30" si="5">E7+E20+E13+E28</f>
        <v>956200</v>
      </c>
      <c r="F30" s="39">
        <f t="shared" si="5"/>
        <v>1010800</v>
      </c>
      <c r="G30" s="39">
        <f t="shared" si="5"/>
        <v>1170200</v>
      </c>
      <c r="H30" s="39">
        <f t="shared" si="5"/>
        <v>1318900</v>
      </c>
      <c r="I30" s="39">
        <f t="shared" si="5"/>
        <v>1808325</v>
      </c>
      <c r="J30" s="39">
        <f t="shared" si="5"/>
        <v>2051050</v>
      </c>
      <c r="K30" s="39">
        <f t="shared" si="5"/>
        <v>2292200</v>
      </c>
      <c r="L30" s="39">
        <f t="shared" si="5"/>
        <v>2567000</v>
      </c>
      <c r="M30" s="39">
        <f t="shared" si="5"/>
        <v>3156550</v>
      </c>
      <c r="N30" s="39">
        <f t="shared" si="5"/>
        <v>3625950</v>
      </c>
      <c r="O30" s="39">
        <f t="shared" si="5"/>
        <v>4019075</v>
      </c>
      <c r="P30" s="39">
        <f t="shared" si="5"/>
        <v>4470700</v>
      </c>
      <c r="Q30" s="39">
        <f t="shared" si="5"/>
        <v>5058200</v>
      </c>
      <c r="R30" s="39">
        <f t="shared" si="5"/>
        <v>5894000</v>
      </c>
      <c r="S30" s="39">
        <f t="shared" si="5"/>
        <v>6369475</v>
      </c>
      <c r="T30" s="39">
        <f t="shared" si="5"/>
        <v>7218200</v>
      </c>
    </row>
    <row r="32" spans="1:20" s="6" customFormat="1" x14ac:dyDescent="0.15">
      <c r="A32" s="1" t="s">
        <v>219</v>
      </c>
      <c r="D32" s="5"/>
      <c r="E32" s="14">
        <f t="shared" ref="E32:T32" si="6">E30-(E4+E16+E10+E23)</f>
        <v>245200</v>
      </c>
      <c r="F32" s="14">
        <f t="shared" si="6"/>
        <v>281800</v>
      </c>
      <c r="G32" s="14">
        <f t="shared" si="6"/>
        <v>309200</v>
      </c>
      <c r="H32" s="14">
        <f t="shared" si="6"/>
        <v>402400</v>
      </c>
      <c r="I32" s="14">
        <f t="shared" si="6"/>
        <v>477000</v>
      </c>
      <c r="J32" s="14">
        <f t="shared" si="6"/>
        <v>601800</v>
      </c>
      <c r="K32" s="14">
        <f t="shared" si="6"/>
        <v>616400</v>
      </c>
      <c r="L32" s="14">
        <f t="shared" si="6"/>
        <v>784600</v>
      </c>
      <c r="M32" s="14">
        <f t="shared" si="6"/>
        <v>936800</v>
      </c>
      <c r="N32" s="14">
        <f t="shared" si="6"/>
        <v>1139400</v>
      </c>
      <c r="O32" s="14">
        <f t="shared" si="6"/>
        <v>1136400</v>
      </c>
      <c r="P32" s="14">
        <f t="shared" si="6"/>
        <v>1381800</v>
      </c>
      <c r="Q32" s="14">
        <f t="shared" si="6"/>
        <v>1484000</v>
      </c>
      <c r="R32" s="14">
        <f t="shared" si="6"/>
        <v>1855000</v>
      </c>
      <c r="S32" s="14">
        <f t="shared" si="6"/>
        <v>1802399.9999999991</v>
      </c>
      <c r="T32" s="14">
        <f t="shared" si="6"/>
        <v>2151199.9999999991</v>
      </c>
    </row>
    <row r="34" spans="1:20" s="4" customFormat="1" x14ac:dyDescent="0.15">
      <c r="A34" s="1" t="s">
        <v>209</v>
      </c>
      <c r="D34" s="3" t="s">
        <v>42</v>
      </c>
      <c r="E34" s="4" t="s">
        <v>73</v>
      </c>
      <c r="F34" s="4" t="s">
        <v>74</v>
      </c>
      <c r="G34" s="4" t="s">
        <v>75</v>
      </c>
      <c r="H34" s="4" t="s">
        <v>91</v>
      </c>
      <c r="I34" s="4" t="s">
        <v>73</v>
      </c>
      <c r="J34" s="4" t="s">
        <v>74</v>
      </c>
      <c r="K34" s="4" t="s">
        <v>75</v>
      </c>
      <c r="L34" s="4" t="s">
        <v>91</v>
      </c>
      <c r="M34" s="4" t="s">
        <v>73</v>
      </c>
      <c r="N34" s="4" t="s">
        <v>74</v>
      </c>
      <c r="O34" s="4" t="s">
        <v>75</v>
      </c>
      <c r="P34" s="4" t="s">
        <v>91</v>
      </c>
      <c r="Q34" s="4" t="s">
        <v>73</v>
      </c>
      <c r="R34" s="4" t="s">
        <v>74</v>
      </c>
      <c r="S34" s="4" t="s">
        <v>75</v>
      </c>
      <c r="T34" s="4" t="s">
        <v>91</v>
      </c>
    </row>
    <row r="35" spans="1:20" s="4" customFormat="1" x14ac:dyDescent="0.15">
      <c r="E35" s="4" t="s">
        <v>180</v>
      </c>
      <c r="F35" s="4" t="s">
        <v>180</v>
      </c>
      <c r="G35" s="4" t="s">
        <v>180</v>
      </c>
      <c r="H35" s="4" t="s">
        <v>180</v>
      </c>
      <c r="I35" s="4" t="s">
        <v>36</v>
      </c>
      <c r="J35" s="4" t="s">
        <v>36</v>
      </c>
      <c r="K35" s="4" t="s">
        <v>36</v>
      </c>
      <c r="L35" s="4" t="s">
        <v>36</v>
      </c>
      <c r="M35" s="4" t="s">
        <v>37</v>
      </c>
      <c r="N35" s="4" t="s">
        <v>37</v>
      </c>
      <c r="O35" s="4" t="s">
        <v>37</v>
      </c>
      <c r="P35" s="4" t="s">
        <v>37</v>
      </c>
      <c r="Q35" s="4" t="s">
        <v>38</v>
      </c>
      <c r="R35" s="4" t="s">
        <v>38</v>
      </c>
      <c r="S35" s="4" t="s">
        <v>38</v>
      </c>
      <c r="T35" s="4" t="s">
        <v>38</v>
      </c>
    </row>
    <row r="36" spans="1:20" s="16" customFormat="1" x14ac:dyDescent="0.15">
      <c r="A36" s="6"/>
      <c r="B36" s="6" t="s">
        <v>220</v>
      </c>
      <c r="C36" s="6"/>
      <c r="D36" s="15" t="s">
        <v>41</v>
      </c>
      <c r="E36" s="96">
        <f>'Staffing Plan'!E36</f>
        <v>17</v>
      </c>
      <c r="F36" s="96">
        <f>'Staffing Plan'!F36</f>
        <v>18</v>
      </c>
      <c r="G36" s="96">
        <f>'Staffing Plan'!G36</f>
        <v>22</v>
      </c>
      <c r="H36" s="96">
        <f>'Staffing Plan'!H36</f>
        <v>24</v>
      </c>
      <c r="I36" s="96">
        <f>'Staffing Plan'!I36</f>
        <v>35</v>
      </c>
      <c r="J36" s="96">
        <f>'Staffing Plan'!J36</f>
        <v>38</v>
      </c>
      <c r="K36" s="96">
        <f>'Staffing Plan'!K36</f>
        <v>44</v>
      </c>
      <c r="L36" s="96">
        <f>'Staffing Plan'!L36</f>
        <v>46</v>
      </c>
      <c r="M36" s="96">
        <f>'Staffing Plan'!M36</f>
        <v>58</v>
      </c>
      <c r="N36" s="96">
        <f>'Staffing Plan'!N36</f>
        <v>64</v>
      </c>
      <c r="O36" s="96">
        <f>'Staffing Plan'!O36</f>
        <v>74</v>
      </c>
      <c r="P36" s="96">
        <f>'Staffing Plan'!P36</f>
        <v>78</v>
      </c>
      <c r="Q36" s="96">
        <f>'Staffing Plan'!Q36</f>
        <v>90</v>
      </c>
      <c r="R36" s="96">
        <f>'Staffing Plan'!R36</f>
        <v>100</v>
      </c>
      <c r="S36" s="96">
        <f>'Staffing Plan'!S36</f>
        <v>112</v>
      </c>
      <c r="T36" s="96">
        <f>'Staffing Plan'!T36</f>
        <v>122</v>
      </c>
    </row>
    <row r="37" spans="1:20" x14ac:dyDescent="0.15">
      <c r="A37" s="16"/>
      <c r="B37" s="16" t="s">
        <v>221</v>
      </c>
      <c r="C37" s="18">
        <v>150</v>
      </c>
      <c r="E37" s="97">
        <f t="shared" ref="E37:T37" si="7">E36*$C37</f>
        <v>2550</v>
      </c>
      <c r="F37" s="97">
        <f t="shared" si="7"/>
        <v>2700</v>
      </c>
      <c r="G37" s="97">
        <f t="shared" si="7"/>
        <v>3300</v>
      </c>
      <c r="H37" s="97">
        <f t="shared" si="7"/>
        <v>3600</v>
      </c>
      <c r="I37" s="97">
        <f t="shared" si="7"/>
        <v>5250</v>
      </c>
      <c r="J37" s="97">
        <f t="shared" si="7"/>
        <v>5700</v>
      </c>
      <c r="K37" s="97">
        <f t="shared" si="7"/>
        <v>6600</v>
      </c>
      <c r="L37" s="97">
        <f t="shared" si="7"/>
        <v>6900</v>
      </c>
      <c r="M37" s="97">
        <f t="shared" si="7"/>
        <v>8700</v>
      </c>
      <c r="N37" s="97">
        <f t="shared" si="7"/>
        <v>9600</v>
      </c>
      <c r="O37" s="97">
        <f t="shared" si="7"/>
        <v>11100</v>
      </c>
      <c r="P37" s="97">
        <f t="shared" si="7"/>
        <v>11700</v>
      </c>
      <c r="Q37" s="97">
        <f t="shared" si="7"/>
        <v>13500</v>
      </c>
      <c r="R37" s="97">
        <f t="shared" si="7"/>
        <v>15000</v>
      </c>
      <c r="S37" s="97">
        <f t="shared" si="7"/>
        <v>16800</v>
      </c>
      <c r="T37" s="97">
        <f t="shared" si="7"/>
        <v>18300</v>
      </c>
    </row>
    <row r="38" spans="1:20" x14ac:dyDescent="0.15"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</row>
    <row r="39" spans="1:20" x14ac:dyDescent="0.15">
      <c r="B39" s="10" t="s">
        <v>223</v>
      </c>
      <c r="C39" s="56" t="s">
        <v>222</v>
      </c>
      <c r="D39" s="67">
        <v>50</v>
      </c>
      <c r="E39" s="9">
        <f>E37*$D39/4</f>
        <v>31875</v>
      </c>
      <c r="F39" s="9">
        <f>F37*$D39/4</f>
        <v>33750</v>
      </c>
      <c r="G39" s="9">
        <f>G37*$D39/4</f>
        <v>41250</v>
      </c>
      <c r="H39" s="9">
        <f>H37*$D39/4</f>
        <v>45000</v>
      </c>
      <c r="I39" s="9">
        <f>I37*$D39/4</f>
        <v>65625</v>
      </c>
      <c r="J39" s="9">
        <f>J37*$D39/4</f>
        <v>71250</v>
      </c>
      <c r="K39" s="9">
        <f>K37*$D39/4</f>
        <v>82500</v>
      </c>
      <c r="L39" s="9">
        <f>L37*$D39/4</f>
        <v>86250</v>
      </c>
      <c r="M39" s="9">
        <f>M37*$D39/4</f>
        <v>108750</v>
      </c>
      <c r="N39" s="9">
        <f>N37*$D39/4</f>
        <v>120000</v>
      </c>
      <c r="O39" s="9">
        <f>O37*$D39/4</f>
        <v>138750</v>
      </c>
      <c r="P39" s="9">
        <f>P37*$D39/4</f>
        <v>146250</v>
      </c>
      <c r="Q39" s="9">
        <f>Q37*$D39/4</f>
        <v>168750</v>
      </c>
      <c r="R39" s="9">
        <f>R37*$D39/4</f>
        <v>187500</v>
      </c>
      <c r="S39" s="9">
        <f>S37*$D39/4</f>
        <v>210000</v>
      </c>
      <c r="T39" s="9">
        <f>T37*$D39/4</f>
        <v>228750</v>
      </c>
    </row>
    <row r="40" spans="1:20" x14ac:dyDescent="0.15">
      <c r="B40" s="10" t="s">
        <v>224</v>
      </c>
      <c r="D40" s="18" t="s">
        <v>239</v>
      </c>
      <c r="E40" s="74">
        <v>100000</v>
      </c>
      <c r="F40" s="74">
        <v>100000</v>
      </c>
      <c r="G40" s="74">
        <v>100000</v>
      </c>
      <c r="H40" s="74">
        <v>100000</v>
      </c>
      <c r="I40" s="74">
        <v>100000</v>
      </c>
      <c r="J40" s="74">
        <v>100000</v>
      </c>
      <c r="K40" s="74">
        <v>100000</v>
      </c>
      <c r="L40" s="74">
        <v>100000</v>
      </c>
      <c r="M40" s="74">
        <v>225000</v>
      </c>
      <c r="N40" s="74">
        <v>225000</v>
      </c>
      <c r="O40" s="74">
        <v>225000</v>
      </c>
      <c r="P40" s="74">
        <v>225000</v>
      </c>
      <c r="Q40" s="74">
        <v>225000</v>
      </c>
      <c r="R40" s="74">
        <v>225000</v>
      </c>
      <c r="S40" s="74">
        <v>225000</v>
      </c>
      <c r="T40" s="74">
        <v>225000</v>
      </c>
    </row>
  </sheetData>
  <phoneticPr fontId="0" type="noConversion"/>
  <printOptions gridLines="1" gridLinesSet="0"/>
  <pageMargins left="0.25" right="0.25" top="0.75" bottom="0.75" header="0.5" footer="0.5"/>
  <pageSetup scale="96" fitToWidth="0" orientation="landscape" horizontalDpi="300" verticalDpi="300"/>
  <headerFooter alignWithMargins="0">
    <oddFooter>&amp;L&amp;A&amp;CPage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4"/>
  <sheetViews>
    <sheetView zoomScale="15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ColWidth="11.1640625" defaultRowHeight="15" customHeight="1" x14ac:dyDescent="0.15"/>
  <cols>
    <col min="1" max="1" width="3.5" style="1" customWidth="1"/>
    <col min="2" max="2" width="22.33203125" style="19" customWidth="1"/>
    <col min="3" max="3" width="13.33203125" style="6" bestFit="1" customWidth="1"/>
    <col min="4" max="4" width="11.1640625" style="6" bestFit="1" customWidth="1"/>
    <col min="5" max="8" width="10.83203125" style="6" customWidth="1"/>
    <col min="9" max="9" width="12.83203125" style="6" bestFit="1" customWidth="1"/>
    <col min="10" max="10" width="10.83203125" style="6" customWidth="1"/>
    <col min="11" max="11" width="11.1640625" style="6"/>
    <col min="12" max="15" width="10.83203125" style="6" customWidth="1"/>
    <col min="16" max="16" width="10.83203125" style="6" bestFit="1" customWidth="1"/>
    <col min="17" max="17" width="10.83203125" style="6" customWidth="1"/>
    <col min="18" max="20" width="11.6640625" style="6" bestFit="1" customWidth="1"/>
    <col min="21" max="16384" width="11.1640625" style="6"/>
  </cols>
  <sheetData>
    <row r="1" spans="1:21" s="4" customFormat="1" ht="15" customHeight="1" x14ac:dyDescent="0.15">
      <c r="A1" s="1" t="s">
        <v>166</v>
      </c>
      <c r="B1" s="2"/>
      <c r="C1" s="3" t="s">
        <v>42</v>
      </c>
      <c r="E1" s="4" t="s">
        <v>73</v>
      </c>
      <c r="F1" s="4" t="s">
        <v>74</v>
      </c>
      <c r="G1" s="4" t="s">
        <v>75</v>
      </c>
      <c r="H1" s="4" t="s">
        <v>91</v>
      </c>
      <c r="I1" s="4" t="s">
        <v>73</v>
      </c>
      <c r="J1" s="4" t="s">
        <v>74</v>
      </c>
      <c r="K1" s="4" t="s">
        <v>75</v>
      </c>
      <c r="L1" s="4" t="s">
        <v>91</v>
      </c>
      <c r="M1" s="4" t="s">
        <v>73</v>
      </c>
      <c r="N1" s="4" t="s">
        <v>74</v>
      </c>
      <c r="O1" s="4" t="s">
        <v>75</v>
      </c>
      <c r="P1" s="4" t="s">
        <v>91</v>
      </c>
      <c r="Q1" s="4" t="s">
        <v>73</v>
      </c>
      <c r="R1" s="4" t="s">
        <v>74</v>
      </c>
      <c r="S1" s="4" t="s">
        <v>75</v>
      </c>
      <c r="T1" s="4" t="s">
        <v>91</v>
      </c>
    </row>
    <row r="2" spans="1:21" s="4" customFormat="1" ht="15" customHeight="1" x14ac:dyDescent="0.15">
      <c r="B2" s="2"/>
      <c r="E2" s="4" t="s">
        <v>180</v>
      </c>
      <c r="F2" s="4" t="s">
        <v>180</v>
      </c>
      <c r="G2" s="4" t="s">
        <v>180</v>
      </c>
      <c r="H2" s="4" t="s">
        <v>180</v>
      </c>
      <c r="I2" s="4" t="s">
        <v>36</v>
      </c>
      <c r="J2" s="4" t="s">
        <v>36</v>
      </c>
      <c r="K2" s="4" t="s">
        <v>36</v>
      </c>
      <c r="L2" s="4" t="s">
        <v>36</v>
      </c>
      <c r="M2" s="4" t="s">
        <v>37</v>
      </c>
      <c r="N2" s="4" t="s">
        <v>37</v>
      </c>
      <c r="O2" s="4" t="s">
        <v>37</v>
      </c>
      <c r="P2" s="4" t="s">
        <v>37</v>
      </c>
      <c r="Q2" s="4" t="s">
        <v>38</v>
      </c>
      <c r="R2" s="4" t="s">
        <v>38</v>
      </c>
      <c r="S2" s="4" t="s">
        <v>38</v>
      </c>
      <c r="T2" s="4" t="s">
        <v>38</v>
      </c>
    </row>
    <row r="3" spans="1:21" ht="13" x14ac:dyDescent="0.15">
      <c r="C3" s="99"/>
      <c r="D3" s="99"/>
    </row>
    <row r="4" spans="1:21" ht="13" x14ac:dyDescent="0.15">
      <c r="A4" s="127" t="s">
        <v>262</v>
      </c>
      <c r="C4" s="99"/>
      <c r="D4" s="99"/>
    </row>
    <row r="5" spans="1:21" s="10" customFormat="1" ht="15" customHeight="1" x14ac:dyDescent="0.15">
      <c r="A5" s="1"/>
      <c r="B5" s="19" t="s">
        <v>167</v>
      </c>
      <c r="C5" s="88" t="s">
        <v>144</v>
      </c>
      <c r="D5" s="100">
        <v>3000</v>
      </c>
      <c r="E5" s="17">
        <f>'Staffing Plan'!E36*D5</f>
        <v>51000</v>
      </c>
      <c r="F5" s="17">
        <f>('Staffing Plan'!F36-'Staffing Plan'!E36)*$D5</f>
        <v>3000</v>
      </c>
      <c r="G5" s="17">
        <f>('Staffing Plan'!G36-'Staffing Plan'!F36)*$D5</f>
        <v>12000</v>
      </c>
      <c r="H5" s="17">
        <f>('Staffing Plan'!H36-'Staffing Plan'!G36)*$D5</f>
        <v>6000</v>
      </c>
      <c r="I5" s="17">
        <f>('Staffing Plan'!I36-'Staffing Plan'!H36)*$D5</f>
        <v>33000</v>
      </c>
      <c r="J5" s="17">
        <f>('Staffing Plan'!J36-'Staffing Plan'!I36)*$D5</f>
        <v>9000</v>
      </c>
      <c r="K5" s="17">
        <f>('Staffing Plan'!K36-'Staffing Plan'!J36)*$D5</f>
        <v>18000</v>
      </c>
      <c r="L5" s="17">
        <f>('Staffing Plan'!L36-'Staffing Plan'!K36)*$D5</f>
        <v>6000</v>
      </c>
      <c r="M5" s="17">
        <f>('Staffing Plan'!M36-'Staffing Plan'!L36)*$D5</f>
        <v>36000</v>
      </c>
      <c r="N5" s="17">
        <f>('Staffing Plan'!N36-'Staffing Plan'!M36)*$D5</f>
        <v>18000</v>
      </c>
      <c r="O5" s="17">
        <f>('Staffing Plan'!O36-'Staffing Plan'!N36)*$D5</f>
        <v>30000</v>
      </c>
      <c r="P5" s="17">
        <f>('Staffing Plan'!P36-'Staffing Plan'!O36)*$D5</f>
        <v>12000</v>
      </c>
      <c r="Q5" s="17">
        <f>('Staffing Plan'!Q36-'Staffing Plan'!P36)*$D5</f>
        <v>36000</v>
      </c>
      <c r="R5" s="17">
        <f>('Staffing Plan'!R36-'Staffing Plan'!Q36)*$D5</f>
        <v>30000</v>
      </c>
      <c r="S5" s="17">
        <f>('Staffing Plan'!S36-'Staffing Plan'!R36)*$D5</f>
        <v>36000</v>
      </c>
      <c r="T5" s="17">
        <f>('Staffing Plan'!T36-'Staffing Plan'!S36)*$D5</f>
        <v>30000</v>
      </c>
    </row>
    <row r="6" spans="1:21" s="10" customFormat="1" ht="15" customHeight="1" x14ac:dyDescent="0.15">
      <c r="A6" s="1"/>
      <c r="B6" s="19" t="s">
        <v>260</v>
      </c>
      <c r="C6" s="88" t="s">
        <v>144</v>
      </c>
      <c r="D6" s="100" t="s">
        <v>34</v>
      </c>
      <c r="E6" s="20">
        <v>25000</v>
      </c>
      <c r="F6" s="20">
        <v>25000</v>
      </c>
      <c r="G6" s="20">
        <v>25000</v>
      </c>
      <c r="H6" s="20">
        <v>25000</v>
      </c>
      <c r="I6" s="20">
        <v>50000</v>
      </c>
      <c r="J6" s="20">
        <v>50000</v>
      </c>
      <c r="K6" s="20">
        <v>50000</v>
      </c>
      <c r="L6" s="20">
        <v>50000</v>
      </c>
      <c r="M6" s="20">
        <v>100000</v>
      </c>
      <c r="N6" s="20">
        <v>150000</v>
      </c>
      <c r="O6" s="20">
        <v>200000</v>
      </c>
      <c r="P6" s="20">
        <v>250000</v>
      </c>
      <c r="Q6" s="20">
        <v>300000</v>
      </c>
      <c r="R6" s="20">
        <v>400000</v>
      </c>
      <c r="S6" s="20">
        <v>500000</v>
      </c>
      <c r="T6" s="20">
        <v>600000</v>
      </c>
      <c r="U6" s="20"/>
    </row>
    <row r="7" spans="1:21" ht="15" customHeight="1" x14ac:dyDescent="0.15">
      <c r="B7" s="19" t="s">
        <v>261</v>
      </c>
      <c r="C7" s="99"/>
      <c r="D7" s="99"/>
      <c r="E7" s="101">
        <f>SUM(E5:E6)</f>
        <v>76000</v>
      </c>
      <c r="F7" s="101">
        <f t="shared" ref="F7:T7" si="0">SUM(F5:F6)</f>
        <v>28000</v>
      </c>
      <c r="G7" s="101">
        <f t="shared" si="0"/>
        <v>37000</v>
      </c>
      <c r="H7" s="101">
        <f t="shared" si="0"/>
        <v>31000</v>
      </c>
      <c r="I7" s="101">
        <f t="shared" si="0"/>
        <v>83000</v>
      </c>
      <c r="J7" s="101">
        <f t="shared" si="0"/>
        <v>59000</v>
      </c>
      <c r="K7" s="101">
        <f t="shared" si="0"/>
        <v>68000</v>
      </c>
      <c r="L7" s="101">
        <f t="shared" si="0"/>
        <v>56000</v>
      </c>
      <c r="M7" s="101">
        <f t="shared" si="0"/>
        <v>136000</v>
      </c>
      <c r="N7" s="101">
        <f t="shared" si="0"/>
        <v>168000</v>
      </c>
      <c r="O7" s="101">
        <f t="shared" si="0"/>
        <v>230000</v>
      </c>
      <c r="P7" s="101">
        <f t="shared" si="0"/>
        <v>262000</v>
      </c>
      <c r="Q7" s="101">
        <f t="shared" si="0"/>
        <v>336000</v>
      </c>
      <c r="R7" s="101">
        <f t="shared" si="0"/>
        <v>430000</v>
      </c>
      <c r="S7" s="101">
        <f t="shared" si="0"/>
        <v>536000</v>
      </c>
      <c r="T7" s="101">
        <f t="shared" si="0"/>
        <v>630000</v>
      </c>
    </row>
    <row r="8" spans="1:21" ht="15" customHeight="1" x14ac:dyDescent="0.15">
      <c r="B8" s="19" t="s">
        <v>168</v>
      </c>
      <c r="C8" s="99"/>
      <c r="D8" s="99"/>
      <c r="E8" s="17">
        <f>E7</f>
        <v>76000</v>
      </c>
      <c r="F8" s="17">
        <f t="shared" ref="F8:T8" si="1">F7+E8</f>
        <v>104000</v>
      </c>
      <c r="G8" s="17">
        <f t="shared" si="1"/>
        <v>141000</v>
      </c>
      <c r="H8" s="17">
        <f t="shared" si="1"/>
        <v>172000</v>
      </c>
      <c r="I8" s="17">
        <f t="shared" si="1"/>
        <v>255000</v>
      </c>
      <c r="J8" s="17">
        <f t="shared" si="1"/>
        <v>314000</v>
      </c>
      <c r="K8" s="17">
        <f t="shared" si="1"/>
        <v>382000</v>
      </c>
      <c r="L8" s="17">
        <f t="shared" si="1"/>
        <v>438000</v>
      </c>
      <c r="M8" s="17">
        <f t="shared" si="1"/>
        <v>574000</v>
      </c>
      <c r="N8" s="17">
        <f t="shared" si="1"/>
        <v>742000</v>
      </c>
      <c r="O8" s="17">
        <f t="shared" si="1"/>
        <v>972000</v>
      </c>
      <c r="P8" s="17">
        <f t="shared" si="1"/>
        <v>1234000</v>
      </c>
      <c r="Q8" s="17">
        <f t="shared" si="1"/>
        <v>1570000</v>
      </c>
      <c r="R8" s="17">
        <f t="shared" si="1"/>
        <v>2000000</v>
      </c>
      <c r="S8" s="17">
        <f t="shared" si="1"/>
        <v>2536000</v>
      </c>
      <c r="T8" s="17">
        <f t="shared" si="1"/>
        <v>3166000</v>
      </c>
    </row>
    <row r="9" spans="1:21" ht="15" customHeight="1" x14ac:dyDescent="0.15">
      <c r="C9" s="99"/>
      <c r="D9" s="99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1" ht="15" customHeight="1" x14ac:dyDescent="0.15">
      <c r="A10" s="127" t="s">
        <v>263</v>
      </c>
      <c r="C10" s="99"/>
      <c r="D10" s="99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1" ht="15" customHeight="1" x14ac:dyDescent="0.15">
      <c r="B11" s="19" t="s">
        <v>259</v>
      </c>
      <c r="D11" s="21">
        <v>45</v>
      </c>
      <c r="E11" s="22">
        <f>($D$11/90)*COGS!F27</f>
        <v>30000</v>
      </c>
      <c r="F11" s="22">
        <f>($D$11/90)*COGS!G27</f>
        <v>72000</v>
      </c>
      <c r="G11" s="22">
        <f>($D$11/90)*COGS!H27</f>
        <v>110000</v>
      </c>
      <c r="H11" s="22">
        <f>($D$11/90)*COGS!I27</f>
        <v>218250</v>
      </c>
      <c r="I11" s="22">
        <f>($D$11/90)*COGS!J27</f>
        <v>244200</v>
      </c>
      <c r="J11" s="22">
        <f>($D$11/90)*COGS!K27</f>
        <v>324450</v>
      </c>
      <c r="K11" s="22">
        <f>($D$11/90)*COGS!L27</f>
        <v>429000</v>
      </c>
      <c r="L11" s="22">
        <f>($D$11/90)*COGS!M27</f>
        <v>563200</v>
      </c>
      <c r="M11" s="22">
        <f>($D$11/90)*COGS!N27</f>
        <v>669600</v>
      </c>
      <c r="N11" s="22">
        <f>($D$11/90)*COGS!O27</f>
        <v>922000</v>
      </c>
      <c r="O11" s="22">
        <f>($D$11/90)*COGS!P27</f>
        <v>1224000</v>
      </c>
      <c r="P11" s="22">
        <f>($D$11/90)*COGS!Q27</f>
        <v>1207200</v>
      </c>
      <c r="Q11" s="22">
        <f>($D$11/90)*COGS!R27</f>
        <v>1396000</v>
      </c>
      <c r="R11" s="22">
        <f>($D$11/90)*COGS!S27</f>
        <v>1508000</v>
      </c>
      <c r="S11" s="22">
        <f>($D$11/90)*COGS!T27</f>
        <v>1684000</v>
      </c>
      <c r="T11" s="22">
        <f>(S11/R11)*S11</f>
        <v>1880541.1140583553</v>
      </c>
    </row>
    <row r="12" spans="1:21" ht="15" customHeight="1" x14ac:dyDescent="0.15">
      <c r="C12" s="99"/>
      <c r="D12" s="99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1" s="4" customFormat="1" ht="15" customHeight="1" x14ac:dyDescent="0.15">
      <c r="A13" s="1" t="s">
        <v>139</v>
      </c>
      <c r="B13" s="2"/>
      <c r="C13" s="3" t="s">
        <v>42</v>
      </c>
      <c r="D13" s="3"/>
      <c r="E13" s="4" t="s">
        <v>73</v>
      </c>
      <c r="F13" s="4" t="s">
        <v>74</v>
      </c>
      <c r="G13" s="4" t="s">
        <v>75</v>
      </c>
      <c r="H13" s="4" t="s">
        <v>91</v>
      </c>
      <c r="I13" s="4" t="s">
        <v>73</v>
      </c>
      <c r="J13" s="4" t="s">
        <v>74</v>
      </c>
      <c r="K13" s="4" t="s">
        <v>75</v>
      </c>
      <c r="L13" s="4" t="s">
        <v>91</v>
      </c>
      <c r="M13" s="4" t="s">
        <v>73</v>
      </c>
      <c r="N13" s="4" t="s">
        <v>74</v>
      </c>
      <c r="O13" s="4" t="s">
        <v>75</v>
      </c>
      <c r="P13" s="4" t="s">
        <v>91</v>
      </c>
      <c r="Q13" s="4" t="s">
        <v>73</v>
      </c>
      <c r="R13" s="4" t="s">
        <v>74</v>
      </c>
      <c r="S13" s="4" t="s">
        <v>75</v>
      </c>
      <c r="T13" s="4" t="s">
        <v>91</v>
      </c>
    </row>
    <row r="14" spans="1:21" s="4" customFormat="1" ht="15" customHeight="1" x14ac:dyDescent="0.15">
      <c r="B14" s="2"/>
      <c r="E14" s="4" t="s">
        <v>180</v>
      </c>
      <c r="F14" s="4" t="s">
        <v>180</v>
      </c>
      <c r="G14" s="4" t="s">
        <v>180</v>
      </c>
      <c r="H14" s="4" t="s">
        <v>180</v>
      </c>
      <c r="I14" s="4" t="s">
        <v>36</v>
      </c>
      <c r="J14" s="4" t="s">
        <v>36</v>
      </c>
      <c r="K14" s="4" t="s">
        <v>36</v>
      </c>
      <c r="L14" s="4" t="s">
        <v>36</v>
      </c>
      <c r="M14" s="4" t="s">
        <v>37</v>
      </c>
      <c r="N14" s="4" t="s">
        <v>37</v>
      </c>
      <c r="O14" s="4" t="s">
        <v>37</v>
      </c>
      <c r="P14" s="4" t="s">
        <v>37</v>
      </c>
      <c r="Q14" s="4" t="s">
        <v>38</v>
      </c>
      <c r="R14" s="4" t="s">
        <v>38</v>
      </c>
      <c r="S14" s="4" t="s">
        <v>38</v>
      </c>
      <c r="T14" s="4" t="s">
        <v>38</v>
      </c>
    </row>
    <row r="15" spans="1:21" s="10" customFormat="1" ht="15" customHeight="1" x14ac:dyDescent="0.15">
      <c r="A15" s="1"/>
      <c r="B15" s="19" t="s">
        <v>161</v>
      </c>
      <c r="C15" s="100"/>
      <c r="D15" s="100"/>
      <c r="E15" s="17">
        <f>D17</f>
        <v>5000000</v>
      </c>
      <c r="F15" s="57">
        <f>E27</f>
        <v>3905900</v>
      </c>
      <c r="G15" s="57">
        <f t="shared" ref="G15:T15" si="2">F27</f>
        <v>2628400</v>
      </c>
      <c r="H15" s="57">
        <f t="shared" si="2"/>
        <v>1305725</v>
      </c>
      <c r="I15" s="57">
        <f t="shared" si="2"/>
        <v>5233.75</v>
      </c>
      <c r="J15" s="57">
        <f t="shared" si="2"/>
        <v>8271102.0625</v>
      </c>
      <c r="K15" s="57">
        <f t="shared" si="2"/>
        <v>6680634.4593749996</v>
      </c>
      <c r="L15" s="57">
        <f t="shared" si="2"/>
        <v>4928763.9864062499</v>
      </c>
      <c r="M15" s="57">
        <f t="shared" si="2"/>
        <v>3340365.7870859373</v>
      </c>
      <c r="N15" s="57">
        <f t="shared" si="2"/>
        <v>1439227.4977316402</v>
      </c>
      <c r="O15" s="57">
        <f t="shared" si="2"/>
        <v>-417478.87715494167</v>
      </c>
      <c r="P15" s="57">
        <f t="shared" si="2"/>
        <v>2220482.5667028045</v>
      </c>
      <c r="Q15" s="57">
        <f t="shared" si="2"/>
        <v>979942.18836766388</v>
      </c>
      <c r="R15" s="57">
        <f t="shared" si="2"/>
        <v>1049853.828949281</v>
      </c>
      <c r="S15" s="57">
        <f t="shared" si="2"/>
        <v>1064376.1375018163</v>
      </c>
      <c r="T15" s="57">
        <f t="shared" si="2"/>
        <v>2140009.8306267257</v>
      </c>
    </row>
    <row r="16" spans="1:21" s="10" customFormat="1" ht="15" customHeight="1" x14ac:dyDescent="0.15">
      <c r="A16" s="1"/>
      <c r="B16" s="19"/>
      <c r="C16" s="100"/>
      <c r="D16" s="100"/>
      <c r="E16" s="76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</row>
    <row r="17" spans="1:20" s="10" customFormat="1" ht="15" customHeight="1" x14ac:dyDescent="0.15">
      <c r="A17" s="1"/>
      <c r="B17" s="7" t="s">
        <v>162</v>
      </c>
      <c r="C17" s="100" t="s">
        <v>34</v>
      </c>
      <c r="D17" s="100">
        <v>5000000</v>
      </c>
      <c r="E17" s="100">
        <v>0</v>
      </c>
      <c r="F17" s="100">
        <v>0</v>
      </c>
      <c r="G17" s="100">
        <v>0</v>
      </c>
      <c r="H17" s="100">
        <v>0</v>
      </c>
      <c r="I17" s="100">
        <v>10000000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5000000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</row>
    <row r="18" spans="1:20" s="10" customFormat="1" ht="15" customHeight="1" x14ac:dyDescent="0.15">
      <c r="A18" s="1"/>
      <c r="B18" s="7"/>
      <c r="C18" s="100"/>
      <c r="D18" s="100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1:20" s="16" customFormat="1" ht="15" customHeight="1" x14ac:dyDescent="0.15">
      <c r="A19" s="1"/>
      <c r="B19" s="7" t="s">
        <v>63</v>
      </c>
      <c r="C19" s="105" t="s">
        <v>140</v>
      </c>
      <c r="D19" s="99" t="s">
        <v>265</v>
      </c>
      <c r="E19" s="103">
        <v>0</v>
      </c>
      <c r="F19" s="103">
        <f>'P &amp; L by Qtr'!E6</f>
        <v>0</v>
      </c>
      <c r="G19" s="103">
        <f>'P &amp; L by Qtr'!F6</f>
        <v>209000</v>
      </c>
      <c r="H19" s="103">
        <f>'P &amp; L by Qtr'!G6</f>
        <v>510150</v>
      </c>
      <c r="I19" s="103">
        <f>'P &amp; L by Qtr'!H6</f>
        <v>864642.5</v>
      </c>
      <c r="J19" s="103">
        <f>'P &amp; L by Qtr'!I6</f>
        <v>1362435.375</v>
      </c>
      <c r="K19" s="103">
        <f>'P &amp; L by Qtr'!J6</f>
        <v>1722953.60625</v>
      </c>
      <c r="L19" s="103">
        <f>'P &amp; L by Qtr'!K6</f>
        <v>2386783.4259374999</v>
      </c>
      <c r="M19" s="103">
        <f>'P &amp; L by Qtr'!L6</f>
        <v>3169469.2546406249</v>
      </c>
      <c r="N19" s="103">
        <f>'P &amp; L by Qtr'!M6</f>
        <v>4155935.7919085938</v>
      </c>
      <c r="O19" s="103">
        <f>'P &amp; L by Qtr'!N6</f>
        <v>4987059.0023131641</v>
      </c>
      <c r="P19" s="103">
        <f>'P &amp; L by Qtr'!O6</f>
        <v>6947406.0521975057</v>
      </c>
      <c r="Q19" s="103">
        <f>'P &amp; L by Qtr'!P6</f>
        <v>9491835.7495876309</v>
      </c>
      <c r="R19" s="103">
        <f>'P &amp; L by Qtr'!Q6</f>
        <v>10669483.962108249</v>
      </c>
      <c r="S19" s="103">
        <f>'P &amp; L by Qtr'!R6</f>
        <v>12970809.764002837</v>
      </c>
      <c r="T19" s="103">
        <f>'P &amp; L by Qtr'!S6</f>
        <v>14533869.275802694</v>
      </c>
    </row>
    <row r="20" spans="1:20" s="16" customFormat="1" ht="15" customHeight="1" x14ac:dyDescent="0.15">
      <c r="A20" s="1"/>
      <c r="B20" s="7" t="s">
        <v>137</v>
      </c>
      <c r="C20" s="105" t="s">
        <v>140</v>
      </c>
      <c r="D20" s="99"/>
      <c r="E20" s="103">
        <f>-('P &amp; L by Qtr'!E11)</f>
        <v>-154500</v>
      </c>
      <c r="F20" s="103">
        <f>-('P &amp; L by Qtr'!F11)</f>
        <v>-215000</v>
      </c>
      <c r="G20" s="103">
        <f>-('P &amp; L by Qtr'!G11)</f>
        <v>-300175</v>
      </c>
      <c r="H20" s="103">
        <f>-('P &amp; L by Qtr'!H11)</f>
        <v>-399091.25</v>
      </c>
      <c r="I20" s="103">
        <f>-('P &amp; L by Qtr'!I11)</f>
        <v>-718799.1875</v>
      </c>
      <c r="J20" s="103">
        <f>-('P &amp; L by Qtr'!J11)</f>
        <v>-825002.97812500002</v>
      </c>
      <c r="K20" s="103">
        <f>-('P &amp; L by Qtr'!K11)</f>
        <v>-1017374.07921875</v>
      </c>
      <c r="L20" s="103">
        <f>-('P &amp; L by Qtr'!L11)</f>
        <v>-1302081.6252578124</v>
      </c>
      <c r="M20" s="103">
        <f>-('P &amp; L by Qtr'!M11)</f>
        <v>-1747757.543994922</v>
      </c>
      <c r="N20" s="103">
        <f>-('P &amp; L by Qtr'!N11)</f>
        <v>-2067592.1667951758</v>
      </c>
      <c r="O20" s="103">
        <f>-('P &amp; L by Qtr'!O11)</f>
        <v>-2796522.5584554169</v>
      </c>
      <c r="P20" s="103">
        <f>-('P &amp; L by Qtr'!P11)</f>
        <v>-3594746.4305326464</v>
      </c>
      <c r="Q20" s="103">
        <f>-('P &amp; L by Qtr'!Q11)</f>
        <v>-3890024.1090060137</v>
      </c>
      <c r="R20" s="103">
        <f>-('P &amp; L by Qtr'!R11)</f>
        <v>-4404461.6535557136</v>
      </c>
      <c r="S20" s="103">
        <f>-('P &amp; L by Qtr'!S11)</f>
        <v>-4787401.0708779274</v>
      </c>
      <c r="T20" s="103">
        <f>-('P &amp; L by Qtr'!T11)</f>
        <v>-5311909.7673340309</v>
      </c>
    </row>
    <row r="21" spans="1:20" s="16" customFormat="1" ht="15" customHeight="1" x14ac:dyDescent="0.15">
      <c r="A21" s="1"/>
      <c r="B21" s="7" t="s">
        <v>138</v>
      </c>
      <c r="C21" s="105" t="s">
        <v>140</v>
      </c>
      <c r="D21" s="102"/>
      <c r="E21" s="103">
        <f>-'P &amp; L by Qtr'!E22</f>
        <v>-956200</v>
      </c>
      <c r="F21" s="103">
        <f>-'P &amp; L by Qtr'!F22</f>
        <v>-1010800</v>
      </c>
      <c r="G21" s="103">
        <f>-'P &amp; L by Qtr'!G22</f>
        <v>-1170200</v>
      </c>
      <c r="H21" s="103">
        <f>-'P &amp; L by Qtr'!H22</f>
        <v>-1318900</v>
      </c>
      <c r="I21" s="103">
        <f>-'P &amp; L by Qtr'!I22</f>
        <v>-1808325</v>
      </c>
      <c r="J21" s="103">
        <f>-'P &amp; L by Qtr'!J22</f>
        <v>-2051050</v>
      </c>
      <c r="K21" s="103">
        <f>-'P &amp; L by Qtr'!K22</f>
        <v>-2292200</v>
      </c>
      <c r="L21" s="103">
        <f>-'P &amp; L by Qtr'!L22</f>
        <v>-2567000</v>
      </c>
      <c r="M21" s="103">
        <f>-'P &amp; L by Qtr'!M22</f>
        <v>-3156550</v>
      </c>
      <c r="N21" s="103">
        <f>-'P &amp; L by Qtr'!N22</f>
        <v>-3625950</v>
      </c>
      <c r="O21" s="103">
        <f>-'P &amp; L by Qtr'!O22</f>
        <v>-4019075</v>
      </c>
      <c r="P21" s="103">
        <f>-'P &amp; L by Qtr'!P22</f>
        <v>-4470700</v>
      </c>
      <c r="Q21" s="103">
        <f>-'P &amp; L by Qtr'!Q22</f>
        <v>-5058200</v>
      </c>
      <c r="R21" s="103">
        <f>-'P &amp; L by Qtr'!R22</f>
        <v>-5894000</v>
      </c>
      <c r="S21" s="103">
        <f>-'P &amp; L by Qtr'!S22</f>
        <v>-6369475</v>
      </c>
      <c r="T21" s="103">
        <f>-'P &amp; L by Qtr'!T22</f>
        <v>-7218200</v>
      </c>
    </row>
    <row r="22" spans="1:20" s="16" customFormat="1" ht="15" customHeight="1" x14ac:dyDescent="0.15">
      <c r="A22" s="1"/>
      <c r="B22" s="7" t="s">
        <v>14</v>
      </c>
      <c r="C22" s="105" t="s">
        <v>15</v>
      </c>
      <c r="D22" s="123">
        <f>'Balance Sheet'!C19</f>
        <v>45</v>
      </c>
      <c r="E22" s="103">
        <f>(Expenses!E32-Expenses!D32)*'CapEx and Simple Cash Flow'!$D22/90</f>
        <v>122600</v>
      </c>
      <c r="F22" s="103">
        <f>(Expenses!F32-Expenses!E32)*'CapEx and Simple Cash Flow'!$D22/90</f>
        <v>18300</v>
      </c>
      <c r="G22" s="103">
        <f>(Expenses!G32-Expenses!F32)*'CapEx and Simple Cash Flow'!$D22/90</f>
        <v>13700</v>
      </c>
      <c r="H22" s="103">
        <f>(Expenses!H32-Expenses!G32)*'CapEx and Simple Cash Flow'!$D22/90</f>
        <v>46600</v>
      </c>
      <c r="I22" s="103">
        <f>(Expenses!I32-Expenses!H32)*'CapEx and Simple Cash Flow'!$D22/90</f>
        <v>37300</v>
      </c>
      <c r="J22" s="103">
        <f>(Expenses!J32-Expenses!I32)*'CapEx and Simple Cash Flow'!$D22/90</f>
        <v>62400</v>
      </c>
      <c r="K22" s="103">
        <f>(Expenses!K32-Expenses!J32)*'CapEx and Simple Cash Flow'!$D22/90</f>
        <v>7300</v>
      </c>
      <c r="L22" s="103">
        <f>(Expenses!L32-Expenses!K32)*'CapEx and Simple Cash Flow'!$D22/90</f>
        <v>84100</v>
      </c>
      <c r="M22" s="103">
        <f>(Expenses!M32-Expenses!L32)*'CapEx and Simple Cash Flow'!$D22/90</f>
        <v>76100</v>
      </c>
      <c r="N22" s="103">
        <f>(Expenses!N32-Expenses!M32)*'CapEx and Simple Cash Flow'!$D22/90</f>
        <v>101300</v>
      </c>
      <c r="O22" s="103">
        <f>(Expenses!O32-Expenses!N32)*'CapEx and Simple Cash Flow'!$D22/90</f>
        <v>-1500</v>
      </c>
      <c r="P22" s="103">
        <f>(Expenses!P32-Expenses!O32)*'CapEx and Simple Cash Flow'!$D22/90</f>
        <v>122700</v>
      </c>
      <c r="Q22" s="103">
        <f>(Expenses!Q32-Expenses!P32)*'CapEx and Simple Cash Flow'!$D22/90</f>
        <v>51100</v>
      </c>
      <c r="R22" s="103">
        <f>(Expenses!R32-Expenses!Q32)*'CapEx and Simple Cash Flow'!$D22/90</f>
        <v>185500</v>
      </c>
      <c r="S22" s="103">
        <f>(Expenses!S32-Expenses!R32)*'CapEx and Simple Cash Flow'!$D22/90</f>
        <v>-26300.000000000466</v>
      </c>
      <c r="T22" s="103">
        <f>(Expenses!T32-Expenses!S32)*'CapEx and Simple Cash Flow'!$D22/90</f>
        <v>174400</v>
      </c>
    </row>
    <row r="23" spans="1:20" s="16" customFormat="1" ht="15" customHeight="1" x14ac:dyDescent="0.15">
      <c r="A23" s="1"/>
      <c r="B23" s="7" t="s">
        <v>258</v>
      </c>
      <c r="C23" s="105" t="s">
        <v>264</v>
      </c>
      <c r="D23" s="123"/>
      <c r="E23" s="103">
        <f>-E11</f>
        <v>-30000</v>
      </c>
      <c r="F23" s="103">
        <f>-(F11-E11)</f>
        <v>-42000</v>
      </c>
      <c r="G23" s="103">
        <f t="shared" ref="G23:T23" si="3">-(G11-F11)</f>
        <v>-38000</v>
      </c>
      <c r="H23" s="103">
        <f t="shared" si="3"/>
        <v>-108250</v>
      </c>
      <c r="I23" s="103">
        <f t="shared" si="3"/>
        <v>-25950</v>
      </c>
      <c r="J23" s="103">
        <f t="shared" si="3"/>
        <v>-80250</v>
      </c>
      <c r="K23" s="103">
        <f t="shared" si="3"/>
        <v>-104550</v>
      </c>
      <c r="L23" s="103">
        <f t="shared" si="3"/>
        <v>-134200</v>
      </c>
      <c r="M23" s="103">
        <f t="shared" si="3"/>
        <v>-106400</v>
      </c>
      <c r="N23" s="103">
        <f t="shared" si="3"/>
        <v>-252400</v>
      </c>
      <c r="O23" s="103">
        <f t="shared" si="3"/>
        <v>-302000</v>
      </c>
      <c r="P23" s="103">
        <f t="shared" si="3"/>
        <v>16800</v>
      </c>
      <c r="Q23" s="103">
        <f t="shared" si="3"/>
        <v>-188800</v>
      </c>
      <c r="R23" s="103">
        <f t="shared" si="3"/>
        <v>-112000</v>
      </c>
      <c r="S23" s="103">
        <f t="shared" si="3"/>
        <v>-176000</v>
      </c>
      <c r="T23" s="103">
        <f t="shared" si="3"/>
        <v>-196541.11405835534</v>
      </c>
    </row>
    <row r="24" spans="1:20" s="16" customFormat="1" ht="15" customHeight="1" x14ac:dyDescent="0.15">
      <c r="A24" s="1"/>
      <c r="B24" s="7" t="s">
        <v>163</v>
      </c>
      <c r="C24" s="105" t="s">
        <v>141</v>
      </c>
      <c r="D24" s="100"/>
      <c r="E24" s="104">
        <f t="shared" ref="E24:T24" si="4">-E7</f>
        <v>-76000</v>
      </c>
      <c r="F24" s="104">
        <f t="shared" si="4"/>
        <v>-28000</v>
      </c>
      <c r="G24" s="104">
        <f t="shared" si="4"/>
        <v>-37000</v>
      </c>
      <c r="H24" s="104">
        <f t="shared" si="4"/>
        <v>-31000</v>
      </c>
      <c r="I24" s="104">
        <f t="shared" si="4"/>
        <v>-83000</v>
      </c>
      <c r="J24" s="104">
        <f t="shared" si="4"/>
        <v>-59000</v>
      </c>
      <c r="K24" s="104">
        <f t="shared" si="4"/>
        <v>-68000</v>
      </c>
      <c r="L24" s="104">
        <f t="shared" si="4"/>
        <v>-56000</v>
      </c>
      <c r="M24" s="104">
        <f t="shared" si="4"/>
        <v>-136000</v>
      </c>
      <c r="N24" s="104">
        <f t="shared" si="4"/>
        <v>-168000</v>
      </c>
      <c r="O24" s="104">
        <f t="shared" si="4"/>
        <v>-230000</v>
      </c>
      <c r="P24" s="104">
        <f t="shared" si="4"/>
        <v>-262000</v>
      </c>
      <c r="Q24" s="104">
        <f t="shared" si="4"/>
        <v>-336000</v>
      </c>
      <c r="R24" s="104">
        <f t="shared" si="4"/>
        <v>-430000</v>
      </c>
      <c r="S24" s="104">
        <f t="shared" si="4"/>
        <v>-536000</v>
      </c>
      <c r="T24" s="104">
        <f t="shared" si="4"/>
        <v>-630000</v>
      </c>
    </row>
    <row r="25" spans="1:20" s="10" customFormat="1" ht="15" customHeight="1" x14ac:dyDescent="0.15">
      <c r="A25" s="1"/>
      <c r="B25" s="7" t="s">
        <v>164</v>
      </c>
      <c r="C25" s="100"/>
      <c r="D25" s="100"/>
      <c r="E25" s="57">
        <f t="shared" ref="E25:T25" si="5">SUM(E17:E24)</f>
        <v>-1094100</v>
      </c>
      <c r="F25" s="57">
        <f t="shared" si="5"/>
        <v>-1277500</v>
      </c>
      <c r="G25" s="57">
        <f t="shared" si="5"/>
        <v>-1322675</v>
      </c>
      <c r="H25" s="57">
        <f t="shared" si="5"/>
        <v>-1300491.25</v>
      </c>
      <c r="I25" s="57">
        <f t="shared" si="5"/>
        <v>8265868.3125</v>
      </c>
      <c r="J25" s="57">
        <f t="shared" si="5"/>
        <v>-1590467.6031249999</v>
      </c>
      <c r="K25" s="57">
        <f t="shared" si="5"/>
        <v>-1751870.4729687502</v>
      </c>
      <c r="L25" s="57">
        <f t="shared" si="5"/>
        <v>-1588398.1993203126</v>
      </c>
      <c r="M25" s="57">
        <f t="shared" si="5"/>
        <v>-1901138.2893542971</v>
      </c>
      <c r="N25" s="57">
        <f t="shared" si="5"/>
        <v>-1856706.3748865819</v>
      </c>
      <c r="O25" s="57">
        <f t="shared" si="5"/>
        <v>2637961.4438577462</v>
      </c>
      <c r="P25" s="57">
        <f t="shared" si="5"/>
        <v>-1240540.3783351406</v>
      </c>
      <c r="Q25" s="57">
        <f t="shared" si="5"/>
        <v>69911.640581617132</v>
      </c>
      <c r="R25" s="57">
        <f t="shared" si="5"/>
        <v>14522.308552535251</v>
      </c>
      <c r="S25" s="57">
        <f t="shared" si="5"/>
        <v>1075633.6931249094</v>
      </c>
      <c r="T25" s="57">
        <f t="shared" si="5"/>
        <v>1351618.394410308</v>
      </c>
    </row>
    <row r="26" spans="1:20" s="10" customFormat="1" ht="15" customHeight="1" x14ac:dyDescent="0.15">
      <c r="A26" s="1"/>
      <c r="B26" s="7"/>
      <c r="C26" s="100"/>
      <c r="D26" s="100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</row>
    <row r="27" spans="1:20" ht="15" customHeight="1" x14ac:dyDescent="0.15">
      <c r="B27" s="7" t="s">
        <v>165</v>
      </c>
      <c r="C27" s="99"/>
      <c r="D27" s="99"/>
      <c r="E27" s="17">
        <f t="shared" ref="E27:T27" si="6">E15+E25</f>
        <v>3905900</v>
      </c>
      <c r="F27" s="17">
        <f t="shared" si="6"/>
        <v>2628400</v>
      </c>
      <c r="G27" s="17">
        <f t="shared" si="6"/>
        <v>1305725</v>
      </c>
      <c r="H27" s="17">
        <f t="shared" si="6"/>
        <v>5233.75</v>
      </c>
      <c r="I27" s="17">
        <f t="shared" si="6"/>
        <v>8271102.0625</v>
      </c>
      <c r="J27" s="17">
        <f t="shared" si="6"/>
        <v>6680634.4593749996</v>
      </c>
      <c r="K27" s="17">
        <f t="shared" si="6"/>
        <v>4928763.9864062499</v>
      </c>
      <c r="L27" s="17">
        <f t="shared" si="6"/>
        <v>3340365.7870859373</v>
      </c>
      <c r="M27" s="17">
        <f t="shared" si="6"/>
        <v>1439227.4977316402</v>
      </c>
      <c r="N27" s="17">
        <f t="shared" si="6"/>
        <v>-417478.87715494167</v>
      </c>
      <c r="O27" s="17">
        <f t="shared" si="6"/>
        <v>2220482.5667028045</v>
      </c>
      <c r="P27" s="17">
        <f t="shared" si="6"/>
        <v>979942.18836766388</v>
      </c>
      <c r="Q27" s="17">
        <f t="shared" si="6"/>
        <v>1049853.828949281</v>
      </c>
      <c r="R27" s="17">
        <f t="shared" si="6"/>
        <v>1064376.1375018163</v>
      </c>
      <c r="S27" s="17">
        <f t="shared" si="6"/>
        <v>2140009.8306267257</v>
      </c>
      <c r="T27" s="17">
        <f t="shared" si="6"/>
        <v>3491628.2250370337</v>
      </c>
    </row>
    <row r="28" spans="1:20" ht="15" customHeight="1" x14ac:dyDescent="0.15">
      <c r="C28" s="99"/>
      <c r="D28" s="99"/>
    </row>
    <row r="29" spans="1:20" ht="15" customHeight="1" x14ac:dyDescent="0.15">
      <c r="A29" s="1" t="s">
        <v>142</v>
      </c>
    </row>
    <row r="31" spans="1:20" s="108" customFormat="1" ht="15" customHeight="1" x14ac:dyDescent="0.15">
      <c r="B31" s="107" t="s">
        <v>145</v>
      </c>
      <c r="C31" s="105" t="s">
        <v>62</v>
      </c>
      <c r="E31" s="108">
        <f>'Cash Flow'!E19</f>
        <v>-1094100</v>
      </c>
      <c r="F31" s="108">
        <f>'Cash Flow'!F19</f>
        <v>-1277500</v>
      </c>
      <c r="G31" s="108">
        <f>'Cash Flow'!G19</f>
        <v>-1322675</v>
      </c>
      <c r="H31" s="108">
        <f>'Cash Flow'!H19</f>
        <v>-1300491.25</v>
      </c>
      <c r="I31" s="108">
        <f>'Cash Flow'!I19</f>
        <v>8480068.3125</v>
      </c>
      <c r="J31" s="108">
        <f>'Cash Flow'!J19</f>
        <v>-1804667.6031250001</v>
      </c>
      <c r="K31" s="108">
        <f>'Cash Flow'!K19</f>
        <v>-1751870.4729687499</v>
      </c>
      <c r="L31" s="108">
        <f>'Cash Flow'!L19</f>
        <v>-1588398.1993203126</v>
      </c>
      <c r="M31" s="108">
        <f>'Cash Flow'!M19</f>
        <v>-1901138.2893542973</v>
      </c>
      <c r="N31" s="108">
        <f>'Cash Flow'!N19</f>
        <v>-1856706.3748865821</v>
      </c>
      <c r="O31" s="108">
        <f>'Cash Flow'!O19</f>
        <v>2637961.4438577471</v>
      </c>
      <c r="P31" s="108">
        <f>'Cash Flow'!P19</f>
        <v>-1240540.3783351406</v>
      </c>
      <c r="Q31" s="108">
        <f>'Cash Flow'!Q19</f>
        <v>69911.640581617597</v>
      </c>
      <c r="R31" s="108">
        <f>'Cash Flow'!R19</f>
        <v>14522.308552535251</v>
      </c>
      <c r="S31" s="108">
        <f>'Cash Flow'!S19</f>
        <v>1075633.6931249085</v>
      </c>
      <c r="T31" s="108">
        <f>'Cash Flow'!T19</f>
        <v>1351618.3944103061</v>
      </c>
    </row>
    <row r="32" spans="1:20" s="108" customFormat="1" ht="15" customHeight="1" x14ac:dyDescent="0.15">
      <c r="B32" s="107" t="s">
        <v>146</v>
      </c>
      <c r="C32" s="105" t="s">
        <v>62</v>
      </c>
      <c r="E32" s="108">
        <f>'Cash Flow'!E21</f>
        <v>5000000</v>
      </c>
      <c r="F32" s="108">
        <f>'Cash Flow'!F21</f>
        <v>3905900</v>
      </c>
      <c r="G32" s="108">
        <f>'Cash Flow'!G21</f>
        <v>2628400</v>
      </c>
      <c r="H32" s="108">
        <f>'Cash Flow'!H21</f>
        <v>1305725</v>
      </c>
      <c r="I32" s="108">
        <f>'Cash Flow'!I21</f>
        <v>5233.75</v>
      </c>
      <c r="J32" s="108">
        <f>'Cash Flow'!J21</f>
        <v>8485302.0625</v>
      </c>
      <c r="K32" s="108">
        <f>'Cash Flow'!K21</f>
        <v>6680634.4593749996</v>
      </c>
      <c r="L32" s="108">
        <f>'Cash Flow'!L21</f>
        <v>4928763.9864062499</v>
      </c>
      <c r="M32" s="108">
        <f>'Cash Flow'!M21</f>
        <v>3340365.7870859373</v>
      </c>
      <c r="N32" s="108">
        <f>'Cash Flow'!N21</f>
        <v>1439227.49773164</v>
      </c>
      <c r="O32" s="108">
        <f>'Cash Flow'!O21</f>
        <v>-417478.87715494214</v>
      </c>
      <c r="P32" s="108">
        <f>'Cash Flow'!P21</f>
        <v>2220482.566702805</v>
      </c>
      <c r="Q32" s="108">
        <f>'Cash Flow'!Q21</f>
        <v>979942.18836766435</v>
      </c>
      <c r="R32" s="108">
        <f>'Cash Flow'!R21</f>
        <v>1049853.8289492819</v>
      </c>
      <c r="S32" s="108">
        <f>'Cash Flow'!S21</f>
        <v>1064376.1375018172</v>
      </c>
      <c r="T32" s="108">
        <f>'Cash Flow'!T21</f>
        <v>2140009.8306267257</v>
      </c>
    </row>
    <row r="33" spans="2:20" s="108" customFormat="1" ht="15" customHeight="1" thickBot="1" x14ac:dyDescent="0.2">
      <c r="B33" s="107" t="s">
        <v>147</v>
      </c>
      <c r="C33" s="105"/>
      <c r="E33" s="109">
        <f t="shared" ref="E33:T33" si="7">E32+E31</f>
        <v>3905900</v>
      </c>
      <c r="F33" s="109">
        <f t="shared" si="7"/>
        <v>2628400</v>
      </c>
      <c r="G33" s="109">
        <f t="shared" si="7"/>
        <v>1305725</v>
      </c>
      <c r="H33" s="109">
        <f t="shared" si="7"/>
        <v>5233.75</v>
      </c>
      <c r="I33" s="109">
        <f t="shared" si="7"/>
        <v>8485302.0625</v>
      </c>
      <c r="J33" s="109">
        <f t="shared" si="7"/>
        <v>6680634.4593749996</v>
      </c>
      <c r="K33" s="109">
        <f t="shared" si="7"/>
        <v>4928763.9864062499</v>
      </c>
      <c r="L33" s="109">
        <f t="shared" si="7"/>
        <v>3340365.7870859373</v>
      </c>
      <c r="M33" s="109">
        <f t="shared" si="7"/>
        <v>1439227.49773164</v>
      </c>
      <c r="N33" s="109">
        <f t="shared" si="7"/>
        <v>-417478.87715494214</v>
      </c>
      <c r="O33" s="109">
        <f t="shared" si="7"/>
        <v>2220482.566702805</v>
      </c>
      <c r="P33" s="109">
        <f t="shared" si="7"/>
        <v>979942.18836766435</v>
      </c>
      <c r="Q33" s="109">
        <f t="shared" si="7"/>
        <v>1049853.8289492819</v>
      </c>
      <c r="R33" s="109">
        <f t="shared" si="7"/>
        <v>1064376.1375018172</v>
      </c>
      <c r="S33" s="109">
        <f t="shared" si="7"/>
        <v>2140009.8306267257</v>
      </c>
      <c r="T33" s="109">
        <f t="shared" si="7"/>
        <v>3491628.2250370318</v>
      </c>
    </row>
    <row r="34" spans="2:20" ht="15" customHeight="1" thickTop="1" x14ac:dyDescent="0.15"/>
  </sheetData>
  <phoneticPr fontId="3" type="noConversion"/>
  <printOptions gridLines="1"/>
  <pageMargins left="0.25" right="0.25" top="1" bottom="0.75" header="0.5" footer="0.5"/>
  <pageSetup paperSize="0" scale="90" fitToWidth="2" orientation="landscape" horizontalDpi="4294967292" verticalDpi="4294967292"/>
  <headerFooter alignWithMargins="0">
    <oddFooter>&amp;L&amp;K000000CapEx and Simple Cash Flow&amp;C&amp;K000000Page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5"/>
  <sheetViews>
    <sheetView zoomScale="150" workbookViewId="0">
      <pane xSplit="3" ySplit="3" topLeftCell="D4" activePane="bottomRight" state="frozen"/>
      <selection pane="topRight" activeCell="E1" sqref="E1"/>
      <selection pane="bottomLeft" activeCell="A4" sqref="A4"/>
      <selection pane="bottomRight"/>
    </sheetView>
  </sheetViews>
  <sheetFormatPr baseColWidth="10" defaultColWidth="9" defaultRowHeight="13" x14ac:dyDescent="0.15"/>
  <cols>
    <col min="1" max="1" width="4.1640625" style="1" customWidth="1"/>
    <col min="2" max="2" width="24.83203125" style="5" customWidth="1"/>
    <col min="3" max="3" width="9.33203125" style="5" bestFit="1" customWidth="1"/>
    <col min="4" max="4" width="10.83203125" style="5" bestFit="1" customWidth="1"/>
    <col min="5" max="5" width="11.1640625" style="6" bestFit="1" customWidth="1"/>
    <col min="6" max="7" width="11.33203125" style="6" bestFit="1" customWidth="1"/>
    <col min="8" max="16" width="11.6640625" style="6" bestFit="1" customWidth="1"/>
    <col min="17" max="20" width="12.33203125" style="6" bestFit="1" customWidth="1"/>
    <col min="21" max="34" width="6" style="6" customWidth="1"/>
    <col min="35" max="16384" width="9" style="6"/>
  </cols>
  <sheetData>
    <row r="1" spans="1:20" s="4" customFormat="1" x14ac:dyDescent="0.15">
      <c r="A1" s="2"/>
      <c r="B1" s="3"/>
      <c r="C1" s="3"/>
      <c r="D1" s="4" t="s">
        <v>76</v>
      </c>
      <c r="E1" s="4" t="s">
        <v>73</v>
      </c>
      <c r="F1" s="4" t="s">
        <v>74</v>
      </c>
      <c r="G1" s="4" t="s">
        <v>75</v>
      </c>
      <c r="H1" s="4" t="s">
        <v>91</v>
      </c>
      <c r="I1" s="4" t="s">
        <v>73</v>
      </c>
      <c r="J1" s="4" t="s">
        <v>74</v>
      </c>
      <c r="K1" s="4" t="s">
        <v>75</v>
      </c>
      <c r="L1" s="4" t="s">
        <v>91</v>
      </c>
      <c r="M1" s="4" t="s">
        <v>73</v>
      </c>
      <c r="N1" s="4" t="s">
        <v>74</v>
      </c>
      <c r="O1" s="4" t="s">
        <v>75</v>
      </c>
      <c r="P1" s="4" t="s">
        <v>91</v>
      </c>
      <c r="Q1" s="4" t="s">
        <v>73</v>
      </c>
      <c r="R1" s="4" t="s">
        <v>74</v>
      </c>
      <c r="S1" s="4" t="s">
        <v>75</v>
      </c>
      <c r="T1" s="4" t="s">
        <v>91</v>
      </c>
    </row>
    <row r="2" spans="1:20" s="4" customFormat="1" x14ac:dyDescent="0.15">
      <c r="D2" s="4" t="s">
        <v>87</v>
      </c>
      <c r="E2" s="4" t="s">
        <v>180</v>
      </c>
      <c r="F2" s="4" t="s">
        <v>180</v>
      </c>
      <c r="G2" s="4" t="s">
        <v>180</v>
      </c>
      <c r="H2" s="4" t="s">
        <v>180</v>
      </c>
      <c r="I2" s="4" t="s">
        <v>36</v>
      </c>
      <c r="J2" s="4" t="s">
        <v>36</v>
      </c>
      <c r="K2" s="4" t="s">
        <v>36</v>
      </c>
      <c r="L2" s="4" t="s">
        <v>36</v>
      </c>
      <c r="M2" s="4" t="s">
        <v>37</v>
      </c>
      <c r="N2" s="4" t="s">
        <v>37</v>
      </c>
      <c r="O2" s="4" t="s">
        <v>37</v>
      </c>
      <c r="P2" s="4" t="s">
        <v>37</v>
      </c>
      <c r="Q2" s="4" t="s">
        <v>38</v>
      </c>
      <c r="R2" s="4" t="s">
        <v>38</v>
      </c>
      <c r="S2" s="4" t="s">
        <v>38</v>
      </c>
      <c r="T2" s="4" t="s">
        <v>38</v>
      </c>
    </row>
    <row r="3" spans="1:20" x14ac:dyDescent="0.15">
      <c r="A3" s="1" t="s">
        <v>88</v>
      </c>
      <c r="B3" s="3"/>
    </row>
    <row r="4" spans="1:20" x14ac:dyDescent="0.15">
      <c r="B4" s="1" t="s">
        <v>89</v>
      </c>
    </row>
    <row r="5" spans="1:20" x14ac:dyDescent="0.15">
      <c r="B5" s="7" t="s">
        <v>84</v>
      </c>
      <c r="C5" s="23"/>
      <c r="D5" s="22">
        <f>D38</f>
        <v>5000000</v>
      </c>
      <c r="E5" s="22">
        <f>E35-E13-E6-E7</f>
        <v>3905900</v>
      </c>
      <c r="F5" s="22">
        <f>F35-F13-F6-F7</f>
        <v>2628400</v>
      </c>
      <c r="G5" s="22">
        <f>G35-G13-G6-G7</f>
        <v>1305725</v>
      </c>
      <c r="H5" s="22">
        <f>H35-H13-H6-H7</f>
        <v>5233.75</v>
      </c>
      <c r="I5" s="22">
        <f>I35-I13-'CapEx and Simple Cash Flow'!E11-I7</f>
        <v>8485302.0625</v>
      </c>
      <c r="J5" s="22">
        <f t="shared" ref="J5:T5" si="0">J35-J13-J6-J7</f>
        <v>6680634.4593750006</v>
      </c>
      <c r="K5" s="22">
        <f t="shared" si="0"/>
        <v>4928763.9864062499</v>
      </c>
      <c r="L5" s="22">
        <f t="shared" si="0"/>
        <v>3340365.7870859373</v>
      </c>
      <c r="M5" s="22">
        <f t="shared" si="0"/>
        <v>1439227.49773164</v>
      </c>
      <c r="N5" s="22">
        <f t="shared" si="0"/>
        <v>-417478.87715494167</v>
      </c>
      <c r="O5" s="22">
        <f t="shared" si="0"/>
        <v>2220482.5667028064</v>
      </c>
      <c r="P5" s="22">
        <f t="shared" si="0"/>
        <v>979942.18836766481</v>
      </c>
      <c r="Q5" s="22">
        <f t="shared" si="0"/>
        <v>1049853.8289492819</v>
      </c>
      <c r="R5" s="22">
        <f t="shared" si="0"/>
        <v>1064376.1375018172</v>
      </c>
      <c r="S5" s="22">
        <f t="shared" si="0"/>
        <v>2140009.8306267262</v>
      </c>
      <c r="T5" s="22">
        <f t="shared" si="0"/>
        <v>3491628.2250370309</v>
      </c>
    </row>
    <row r="6" spans="1:20" x14ac:dyDescent="0.15">
      <c r="B6" s="7" t="s">
        <v>257</v>
      </c>
      <c r="C6" s="110" t="s">
        <v>148</v>
      </c>
      <c r="D6" s="22">
        <v>0</v>
      </c>
      <c r="E6" s="22">
        <f>'CapEx and Simple Cash Flow'!E11</f>
        <v>30000</v>
      </c>
      <c r="F6" s="22">
        <f>'CapEx and Simple Cash Flow'!F11</f>
        <v>72000</v>
      </c>
      <c r="G6" s="22">
        <f>'CapEx and Simple Cash Flow'!G11</f>
        <v>110000</v>
      </c>
      <c r="H6" s="22">
        <f>'CapEx and Simple Cash Flow'!H11</f>
        <v>218250</v>
      </c>
      <c r="I6" s="22">
        <f>'CapEx and Simple Cash Flow'!I11</f>
        <v>244200</v>
      </c>
      <c r="J6" s="22">
        <f>'CapEx and Simple Cash Flow'!J11</f>
        <v>324450</v>
      </c>
      <c r="K6" s="22">
        <f>'CapEx and Simple Cash Flow'!K11</f>
        <v>429000</v>
      </c>
      <c r="L6" s="22">
        <f>'CapEx and Simple Cash Flow'!L11</f>
        <v>563200</v>
      </c>
      <c r="M6" s="22">
        <f>'CapEx and Simple Cash Flow'!M11</f>
        <v>669600</v>
      </c>
      <c r="N6" s="22">
        <f>'CapEx and Simple Cash Flow'!N11</f>
        <v>922000</v>
      </c>
      <c r="O6" s="22">
        <f>'CapEx and Simple Cash Flow'!O11</f>
        <v>1224000</v>
      </c>
      <c r="P6" s="22">
        <f>'CapEx and Simple Cash Flow'!P11</f>
        <v>1207200</v>
      </c>
      <c r="Q6" s="22">
        <f>'CapEx and Simple Cash Flow'!Q11</f>
        <v>1396000</v>
      </c>
      <c r="R6" s="22">
        <f>'CapEx and Simple Cash Flow'!R11</f>
        <v>1508000</v>
      </c>
      <c r="S6" s="22">
        <f>'CapEx and Simple Cash Flow'!S11</f>
        <v>1684000</v>
      </c>
      <c r="T6" s="22">
        <f>'CapEx and Simple Cash Flow'!T11</f>
        <v>1880541.1140583553</v>
      </c>
    </row>
    <row r="7" spans="1:20" s="10" customFormat="1" x14ac:dyDescent="0.15">
      <c r="A7" s="1"/>
      <c r="B7" s="7" t="s">
        <v>47</v>
      </c>
      <c r="C7" s="21">
        <v>90</v>
      </c>
      <c r="D7" s="98">
        <v>0</v>
      </c>
      <c r="E7" s="98">
        <f>('P &amp; L by Qtr'!E4)*($C7/90)</f>
        <v>0</v>
      </c>
      <c r="F7" s="98">
        <f>('P &amp; L by Qtr'!F6)*($C7/90)</f>
        <v>209000</v>
      </c>
      <c r="G7" s="98">
        <f>('P &amp; L by Qtr'!G6)*($C7/90)</f>
        <v>510150</v>
      </c>
      <c r="H7" s="98">
        <f>('P &amp; L by Qtr'!H6)*($C7/90)</f>
        <v>864642.5</v>
      </c>
      <c r="I7" s="98">
        <f>('P &amp; L by Qtr'!I6)*($C7/90)</f>
        <v>1362435.375</v>
      </c>
      <c r="J7" s="98">
        <f>('P &amp; L by Qtr'!J6)*($C7/90)</f>
        <v>1722953.60625</v>
      </c>
      <c r="K7" s="98">
        <f>('P &amp; L by Qtr'!K6)*($C7/90)</f>
        <v>2386783.4259374999</v>
      </c>
      <c r="L7" s="98">
        <f>('P &amp; L by Qtr'!L6)*($C7/90)</f>
        <v>3169469.2546406249</v>
      </c>
      <c r="M7" s="98">
        <f>('P &amp; L by Qtr'!M6)*($C7/90)</f>
        <v>4155935.7919085938</v>
      </c>
      <c r="N7" s="98">
        <f>('P &amp; L by Qtr'!N6)*($C7/90)</f>
        <v>4987059.0023131641</v>
      </c>
      <c r="O7" s="98">
        <f>('P &amp; L by Qtr'!O6)*($C7/90)</f>
        <v>6947406.0521975057</v>
      </c>
      <c r="P7" s="98">
        <f>('P &amp; L by Qtr'!P6)*($C7/90)</f>
        <v>9491835.7495876309</v>
      </c>
      <c r="Q7" s="98">
        <f>('P &amp; L by Qtr'!Q6)*($C7/90)</f>
        <v>10669483.962108249</v>
      </c>
      <c r="R7" s="98">
        <f>('P &amp; L by Qtr'!R6)*($C7/90)</f>
        <v>12970809.764002837</v>
      </c>
      <c r="S7" s="98">
        <f>('P &amp; L by Qtr'!S6)*($C7/90)</f>
        <v>14533869.275802694</v>
      </c>
      <c r="T7" s="98">
        <f>('P &amp; L by Qtr'!T6)*($C7/90)</f>
        <v>16793975.812012561</v>
      </c>
    </row>
    <row r="8" spans="1:20" x14ac:dyDescent="0.15">
      <c r="B8" s="4" t="s">
        <v>48</v>
      </c>
      <c r="D8" s="24">
        <f t="shared" ref="D8:T8" si="1">SUM(D5:D7)</f>
        <v>5000000</v>
      </c>
      <c r="E8" s="24">
        <f t="shared" si="1"/>
        <v>3935900</v>
      </c>
      <c r="F8" s="24">
        <f t="shared" si="1"/>
        <v>2909400</v>
      </c>
      <c r="G8" s="24">
        <f t="shared" si="1"/>
        <v>1925875</v>
      </c>
      <c r="H8" s="24">
        <f t="shared" si="1"/>
        <v>1088126.25</v>
      </c>
      <c r="I8" s="24">
        <f t="shared" si="1"/>
        <v>10091937.4375</v>
      </c>
      <c r="J8" s="24">
        <f t="shared" si="1"/>
        <v>8728038.0656250007</v>
      </c>
      <c r="K8" s="24">
        <f t="shared" si="1"/>
        <v>7744547.4123437498</v>
      </c>
      <c r="L8" s="24">
        <f t="shared" si="1"/>
        <v>7073035.0417265622</v>
      </c>
      <c r="M8" s="24">
        <f t="shared" si="1"/>
        <v>6264763.2896402339</v>
      </c>
      <c r="N8" s="24">
        <f t="shared" si="1"/>
        <v>5491580.1251582224</v>
      </c>
      <c r="O8" s="24">
        <f t="shared" si="1"/>
        <v>10391888.618900312</v>
      </c>
      <c r="P8" s="24">
        <f t="shared" si="1"/>
        <v>11678977.937955296</v>
      </c>
      <c r="Q8" s="24">
        <f t="shared" si="1"/>
        <v>13115337.791057531</v>
      </c>
      <c r="R8" s="24">
        <f t="shared" si="1"/>
        <v>15543185.901504654</v>
      </c>
      <c r="S8" s="24">
        <f t="shared" si="1"/>
        <v>18357879.10642942</v>
      </c>
      <c r="T8" s="24">
        <f t="shared" si="1"/>
        <v>22166145.151107945</v>
      </c>
    </row>
    <row r="9" spans="1:20" x14ac:dyDescent="0.15">
      <c r="B9" s="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x14ac:dyDescent="0.15">
      <c r="B10" s="1" t="s">
        <v>49</v>
      </c>
      <c r="D10" s="6"/>
    </row>
    <row r="11" spans="1:20" s="10" customFormat="1" x14ac:dyDescent="0.15">
      <c r="A11" s="1"/>
      <c r="B11" s="7" t="s">
        <v>50</v>
      </c>
      <c r="C11" s="110" t="s">
        <v>148</v>
      </c>
      <c r="D11" s="98">
        <v>0</v>
      </c>
      <c r="E11" s="22">
        <f>'CapEx and Simple Cash Flow'!E5</f>
        <v>51000</v>
      </c>
      <c r="F11" s="22">
        <f>E11+'CapEx and Simple Cash Flow'!F5</f>
        <v>54000</v>
      </c>
      <c r="G11" s="22">
        <f>F11+'CapEx and Simple Cash Flow'!G5</f>
        <v>66000</v>
      </c>
      <c r="H11" s="22">
        <f>G11+'CapEx and Simple Cash Flow'!H5</f>
        <v>72000</v>
      </c>
      <c r="I11" s="22">
        <f>H11+'CapEx and Simple Cash Flow'!I5</f>
        <v>105000</v>
      </c>
      <c r="J11" s="22">
        <f>I11+'CapEx and Simple Cash Flow'!J5</f>
        <v>114000</v>
      </c>
      <c r="K11" s="22">
        <f>J11+'CapEx and Simple Cash Flow'!K5</f>
        <v>132000</v>
      </c>
      <c r="L11" s="22">
        <f>K11+'CapEx and Simple Cash Flow'!L5</f>
        <v>138000</v>
      </c>
      <c r="M11" s="22">
        <f>L11+'CapEx and Simple Cash Flow'!M5</f>
        <v>174000</v>
      </c>
      <c r="N11" s="22">
        <f>M11+'CapEx and Simple Cash Flow'!N5</f>
        <v>192000</v>
      </c>
      <c r="O11" s="22">
        <f>N11+'CapEx and Simple Cash Flow'!O5</f>
        <v>222000</v>
      </c>
      <c r="P11" s="22">
        <f>O11+'CapEx and Simple Cash Flow'!P5</f>
        <v>234000</v>
      </c>
      <c r="Q11" s="22">
        <f>P11+'CapEx and Simple Cash Flow'!Q5</f>
        <v>270000</v>
      </c>
      <c r="R11" s="22">
        <f>Q11+'CapEx and Simple Cash Flow'!R5</f>
        <v>300000</v>
      </c>
      <c r="S11" s="22">
        <f>R11+'CapEx and Simple Cash Flow'!S5</f>
        <v>336000</v>
      </c>
      <c r="T11" s="22">
        <f>S11+'CapEx and Simple Cash Flow'!T5</f>
        <v>366000</v>
      </c>
    </row>
    <row r="12" spans="1:20" x14ac:dyDescent="0.15">
      <c r="B12" s="7" t="s">
        <v>51</v>
      </c>
      <c r="C12" s="110" t="s">
        <v>148</v>
      </c>
      <c r="D12" s="22">
        <v>0</v>
      </c>
      <c r="E12" s="22">
        <f>'CapEx and Simple Cash Flow'!E6</f>
        <v>25000</v>
      </c>
      <c r="F12" s="22">
        <f>E12+'CapEx and Simple Cash Flow'!F6</f>
        <v>50000</v>
      </c>
      <c r="G12" s="22">
        <f>F12+'CapEx and Simple Cash Flow'!G6</f>
        <v>75000</v>
      </c>
      <c r="H12" s="22">
        <f>G12+'CapEx and Simple Cash Flow'!H6</f>
        <v>100000</v>
      </c>
      <c r="I12" s="22">
        <f>H12+'CapEx and Simple Cash Flow'!I6</f>
        <v>150000</v>
      </c>
      <c r="J12" s="22">
        <f>I12+'CapEx and Simple Cash Flow'!J6</f>
        <v>200000</v>
      </c>
      <c r="K12" s="22">
        <f>J12+'CapEx and Simple Cash Flow'!K6</f>
        <v>250000</v>
      </c>
      <c r="L12" s="22">
        <f>K12+'CapEx and Simple Cash Flow'!L6</f>
        <v>300000</v>
      </c>
      <c r="M12" s="22">
        <f>L12+'CapEx and Simple Cash Flow'!M6</f>
        <v>400000</v>
      </c>
      <c r="N12" s="22">
        <f>M12+'CapEx and Simple Cash Flow'!N6</f>
        <v>550000</v>
      </c>
      <c r="O12" s="22">
        <f>N12+'CapEx and Simple Cash Flow'!O6</f>
        <v>750000</v>
      </c>
      <c r="P12" s="22">
        <f>O12+'CapEx and Simple Cash Flow'!P6</f>
        <v>1000000</v>
      </c>
      <c r="Q12" s="22">
        <f>P12+'CapEx and Simple Cash Flow'!Q6</f>
        <v>1300000</v>
      </c>
      <c r="R12" s="22">
        <f>Q12+'CapEx and Simple Cash Flow'!R6</f>
        <v>1700000</v>
      </c>
      <c r="S12" s="22">
        <f>R12+'CapEx and Simple Cash Flow'!S6</f>
        <v>2200000</v>
      </c>
      <c r="T12" s="22">
        <f>S12+'CapEx and Simple Cash Flow'!T6</f>
        <v>2800000</v>
      </c>
    </row>
    <row r="13" spans="1:20" x14ac:dyDescent="0.15">
      <c r="B13" s="4" t="s">
        <v>52</v>
      </c>
      <c r="D13" s="24">
        <f t="shared" ref="D13:T13" si="2">SUM(D11:D12)</f>
        <v>0</v>
      </c>
      <c r="E13" s="24">
        <f t="shared" si="2"/>
        <v>76000</v>
      </c>
      <c r="F13" s="24">
        <f t="shared" si="2"/>
        <v>104000</v>
      </c>
      <c r="G13" s="24">
        <f t="shared" si="2"/>
        <v>141000</v>
      </c>
      <c r="H13" s="24">
        <f t="shared" si="2"/>
        <v>172000</v>
      </c>
      <c r="I13" s="24">
        <f t="shared" si="2"/>
        <v>255000</v>
      </c>
      <c r="J13" s="24">
        <f t="shared" si="2"/>
        <v>314000</v>
      </c>
      <c r="K13" s="24">
        <f t="shared" si="2"/>
        <v>382000</v>
      </c>
      <c r="L13" s="24">
        <f t="shared" si="2"/>
        <v>438000</v>
      </c>
      <c r="M13" s="24">
        <f t="shared" si="2"/>
        <v>574000</v>
      </c>
      <c r="N13" s="24">
        <f t="shared" si="2"/>
        <v>742000</v>
      </c>
      <c r="O13" s="24">
        <f t="shared" si="2"/>
        <v>972000</v>
      </c>
      <c r="P13" s="24">
        <f t="shared" si="2"/>
        <v>1234000</v>
      </c>
      <c r="Q13" s="24">
        <f t="shared" si="2"/>
        <v>1570000</v>
      </c>
      <c r="R13" s="24">
        <f t="shared" si="2"/>
        <v>2000000</v>
      </c>
      <c r="S13" s="24">
        <f t="shared" si="2"/>
        <v>2536000</v>
      </c>
      <c r="T13" s="24">
        <f t="shared" si="2"/>
        <v>3166000</v>
      </c>
    </row>
    <row r="14" spans="1:20" ht="14" thickBot="1" x14ac:dyDescent="0.2">
      <c r="B14" s="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ht="14" thickBot="1" x14ac:dyDescent="0.2">
      <c r="B15" s="2" t="s">
        <v>53</v>
      </c>
      <c r="D15" s="26">
        <f>D8+D13</f>
        <v>5000000</v>
      </c>
      <c r="E15" s="26">
        <f t="shared" ref="E15:T15" si="3">E8+E13</f>
        <v>4011900</v>
      </c>
      <c r="F15" s="26">
        <f t="shared" si="3"/>
        <v>3013400</v>
      </c>
      <c r="G15" s="26">
        <f t="shared" si="3"/>
        <v>2066875</v>
      </c>
      <c r="H15" s="26">
        <f t="shared" si="3"/>
        <v>1260126.25</v>
      </c>
      <c r="I15" s="26">
        <f t="shared" si="3"/>
        <v>10346937.4375</v>
      </c>
      <c r="J15" s="26">
        <f t="shared" si="3"/>
        <v>9042038.0656250007</v>
      </c>
      <c r="K15" s="26">
        <f t="shared" si="3"/>
        <v>8126547.4123437498</v>
      </c>
      <c r="L15" s="26">
        <f t="shared" si="3"/>
        <v>7511035.0417265622</v>
      </c>
      <c r="M15" s="26">
        <f t="shared" si="3"/>
        <v>6838763.2896402339</v>
      </c>
      <c r="N15" s="26">
        <f t="shared" si="3"/>
        <v>6233580.1251582224</v>
      </c>
      <c r="O15" s="26">
        <f t="shared" si="3"/>
        <v>11363888.618900312</v>
      </c>
      <c r="P15" s="26">
        <f t="shared" si="3"/>
        <v>12912977.937955296</v>
      </c>
      <c r="Q15" s="26">
        <f t="shared" si="3"/>
        <v>14685337.791057531</v>
      </c>
      <c r="R15" s="26">
        <f t="shared" si="3"/>
        <v>17543185.901504654</v>
      </c>
      <c r="S15" s="26">
        <f t="shared" si="3"/>
        <v>20893879.10642942</v>
      </c>
      <c r="T15" s="26">
        <f t="shared" si="3"/>
        <v>25332145.151107945</v>
      </c>
    </row>
    <row r="16" spans="1:20" x14ac:dyDescent="0.15">
      <c r="B16" s="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x14ac:dyDescent="0.15">
      <c r="A17" s="1" t="s">
        <v>54</v>
      </c>
      <c r="B17" s="3"/>
      <c r="D17" s="6"/>
    </row>
    <row r="18" spans="1:20" x14ac:dyDescent="0.15">
      <c r="B18" s="1" t="s">
        <v>55</v>
      </c>
      <c r="D18" s="6"/>
    </row>
    <row r="19" spans="1:20" s="10" customFormat="1" x14ac:dyDescent="0.15">
      <c r="A19" s="1"/>
      <c r="B19" s="7" t="s">
        <v>56</v>
      </c>
      <c r="C19" s="21">
        <v>45</v>
      </c>
      <c r="D19" s="98">
        <v>0</v>
      </c>
      <c r="E19" s="98">
        <f>(Expenses!E32)*($C19/90)</f>
        <v>122600</v>
      </c>
      <c r="F19" s="98">
        <f>(Expenses!F32)*($C19/90)</f>
        <v>140900</v>
      </c>
      <c r="G19" s="98">
        <f>(Expenses!G32)*($C19/90)</f>
        <v>154600</v>
      </c>
      <c r="H19" s="98">
        <f>(Expenses!H32)*($C19/90)</f>
        <v>201200</v>
      </c>
      <c r="I19" s="98">
        <f>(Expenses!I32)*($C19/90)</f>
        <v>238500</v>
      </c>
      <c r="J19" s="98">
        <f>(Expenses!J32)*($C19/90)</f>
        <v>300900</v>
      </c>
      <c r="K19" s="98">
        <f>(Expenses!K32)*($C19/90)</f>
        <v>308200</v>
      </c>
      <c r="L19" s="98">
        <f>(Expenses!L32)*($C19/90)</f>
        <v>392300</v>
      </c>
      <c r="M19" s="98">
        <f>(Expenses!M32)*($C19/90)</f>
        <v>468400</v>
      </c>
      <c r="N19" s="98">
        <f>(Expenses!N32)*($C19/90)</f>
        <v>569700</v>
      </c>
      <c r="O19" s="98">
        <f>(Expenses!O32)*($C19/90)</f>
        <v>568200</v>
      </c>
      <c r="P19" s="98">
        <f>(Expenses!P32)*($C19/90)</f>
        <v>690900</v>
      </c>
      <c r="Q19" s="98">
        <f>(Expenses!Q32)*($C19/90)</f>
        <v>742000</v>
      </c>
      <c r="R19" s="98">
        <f>(Expenses!R32)*($C19/90)</f>
        <v>927500</v>
      </c>
      <c r="S19" s="98">
        <f>(Expenses!S32)*($C19/90)</f>
        <v>901199.99999999953</v>
      </c>
      <c r="T19" s="98">
        <f>(Expenses!T32)*($C19/90)</f>
        <v>1075599.9999999995</v>
      </c>
    </row>
    <row r="20" spans="1:20" x14ac:dyDescent="0.15">
      <c r="B20" s="7" t="s">
        <v>57</v>
      </c>
      <c r="C20" s="23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</row>
    <row r="21" spans="1:20" x14ac:dyDescent="0.15">
      <c r="B21" s="4" t="s">
        <v>58</v>
      </c>
      <c r="D21" s="24">
        <f t="shared" ref="D21:T21" si="4">SUM(D19:D20)</f>
        <v>0</v>
      </c>
      <c r="E21" s="24">
        <f t="shared" si="4"/>
        <v>122600</v>
      </c>
      <c r="F21" s="24">
        <f t="shared" si="4"/>
        <v>140900</v>
      </c>
      <c r="G21" s="24">
        <f t="shared" si="4"/>
        <v>154600</v>
      </c>
      <c r="H21" s="24">
        <f t="shared" si="4"/>
        <v>201200</v>
      </c>
      <c r="I21" s="24">
        <f t="shared" si="4"/>
        <v>238500</v>
      </c>
      <c r="J21" s="24">
        <f t="shared" si="4"/>
        <v>300900</v>
      </c>
      <c r="K21" s="24">
        <f t="shared" si="4"/>
        <v>308200</v>
      </c>
      <c r="L21" s="24">
        <f t="shared" si="4"/>
        <v>392300</v>
      </c>
      <c r="M21" s="24">
        <f t="shared" si="4"/>
        <v>468400</v>
      </c>
      <c r="N21" s="24">
        <f t="shared" si="4"/>
        <v>569700</v>
      </c>
      <c r="O21" s="24">
        <f t="shared" si="4"/>
        <v>568200</v>
      </c>
      <c r="P21" s="24">
        <f t="shared" si="4"/>
        <v>690900</v>
      </c>
      <c r="Q21" s="24">
        <f t="shared" si="4"/>
        <v>742000</v>
      </c>
      <c r="R21" s="24">
        <f t="shared" si="4"/>
        <v>927500</v>
      </c>
      <c r="S21" s="24">
        <f t="shared" si="4"/>
        <v>901199.99999999953</v>
      </c>
      <c r="T21" s="24">
        <f t="shared" si="4"/>
        <v>1075599.9999999995</v>
      </c>
    </row>
    <row r="22" spans="1:20" x14ac:dyDescent="0.15">
      <c r="B22" s="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x14ac:dyDescent="0.15">
      <c r="B23" s="1" t="s">
        <v>59</v>
      </c>
      <c r="D23" s="6"/>
    </row>
    <row r="24" spans="1:20" x14ac:dyDescent="0.15">
      <c r="B24" s="7" t="s">
        <v>60</v>
      </c>
      <c r="C24" s="23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</row>
    <row r="25" spans="1:20" x14ac:dyDescent="0.15">
      <c r="B25" s="4" t="s">
        <v>210</v>
      </c>
      <c r="D25" s="24">
        <f t="shared" ref="D25:T25" si="5">SUM(D24:D24)</f>
        <v>0</v>
      </c>
      <c r="E25" s="24">
        <f t="shared" si="5"/>
        <v>0</v>
      </c>
      <c r="F25" s="24">
        <f t="shared" si="5"/>
        <v>0</v>
      </c>
      <c r="G25" s="24">
        <f t="shared" si="5"/>
        <v>0</v>
      </c>
      <c r="H25" s="24">
        <f t="shared" si="5"/>
        <v>0</v>
      </c>
      <c r="I25" s="24">
        <f t="shared" si="5"/>
        <v>0</v>
      </c>
      <c r="J25" s="24">
        <f t="shared" si="5"/>
        <v>0</v>
      </c>
      <c r="K25" s="24">
        <f t="shared" si="5"/>
        <v>0</v>
      </c>
      <c r="L25" s="24">
        <f t="shared" si="5"/>
        <v>0</v>
      </c>
      <c r="M25" s="24">
        <f t="shared" si="5"/>
        <v>0</v>
      </c>
      <c r="N25" s="24">
        <f t="shared" si="5"/>
        <v>0</v>
      </c>
      <c r="O25" s="24">
        <f t="shared" si="5"/>
        <v>0</v>
      </c>
      <c r="P25" s="24">
        <f t="shared" si="5"/>
        <v>0</v>
      </c>
      <c r="Q25" s="24">
        <f t="shared" si="5"/>
        <v>0</v>
      </c>
      <c r="R25" s="24">
        <f t="shared" si="5"/>
        <v>0</v>
      </c>
      <c r="S25" s="24">
        <f t="shared" si="5"/>
        <v>0</v>
      </c>
      <c r="T25" s="24">
        <f t="shared" si="5"/>
        <v>0</v>
      </c>
    </row>
    <row r="26" spans="1:20" x14ac:dyDescent="0.15">
      <c r="B26" s="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ht="14" thickBot="1" x14ac:dyDescent="0.2">
      <c r="B27" s="2" t="s">
        <v>211</v>
      </c>
      <c r="D27" s="27">
        <f>D21+D25</f>
        <v>0</v>
      </c>
      <c r="E27" s="27">
        <f t="shared" ref="E27:T27" si="6">E21+E25</f>
        <v>122600</v>
      </c>
      <c r="F27" s="27">
        <f t="shared" si="6"/>
        <v>140900</v>
      </c>
      <c r="G27" s="27">
        <f t="shared" si="6"/>
        <v>154600</v>
      </c>
      <c r="H27" s="27">
        <f t="shared" si="6"/>
        <v>201200</v>
      </c>
      <c r="I27" s="27">
        <f t="shared" si="6"/>
        <v>238500</v>
      </c>
      <c r="J27" s="27">
        <f t="shared" si="6"/>
        <v>300900</v>
      </c>
      <c r="K27" s="27">
        <f t="shared" si="6"/>
        <v>308200</v>
      </c>
      <c r="L27" s="27">
        <f t="shared" si="6"/>
        <v>392300</v>
      </c>
      <c r="M27" s="27">
        <f t="shared" si="6"/>
        <v>468400</v>
      </c>
      <c r="N27" s="27">
        <f t="shared" si="6"/>
        <v>569700</v>
      </c>
      <c r="O27" s="27">
        <f t="shared" si="6"/>
        <v>568200</v>
      </c>
      <c r="P27" s="27">
        <f t="shared" si="6"/>
        <v>690900</v>
      </c>
      <c r="Q27" s="27">
        <f t="shared" si="6"/>
        <v>742000</v>
      </c>
      <c r="R27" s="27">
        <f t="shared" si="6"/>
        <v>927500</v>
      </c>
      <c r="S27" s="27">
        <f t="shared" si="6"/>
        <v>901199.99999999953</v>
      </c>
      <c r="T27" s="27">
        <f t="shared" si="6"/>
        <v>1075599.9999999995</v>
      </c>
    </row>
    <row r="28" spans="1:20" x14ac:dyDescent="0.15">
      <c r="D28" s="6"/>
    </row>
    <row r="29" spans="1:20" x14ac:dyDescent="0.15">
      <c r="A29" s="1" t="s">
        <v>212</v>
      </c>
      <c r="B29" s="3"/>
      <c r="D29" s="6"/>
    </row>
    <row r="30" spans="1:20" x14ac:dyDescent="0.15">
      <c r="B30" s="7" t="s">
        <v>213</v>
      </c>
      <c r="C30" s="110" t="s">
        <v>148</v>
      </c>
      <c r="D30" s="22">
        <f>D38</f>
        <v>5000000</v>
      </c>
      <c r="E30" s="22">
        <f>D30+E38</f>
        <v>5000000</v>
      </c>
      <c r="F30" s="22">
        <f t="shared" ref="F30:T30" si="7">E30+F38</f>
        <v>5000000</v>
      </c>
      <c r="G30" s="22">
        <f t="shared" si="7"/>
        <v>5000000</v>
      </c>
      <c r="H30" s="22">
        <f t="shared" si="7"/>
        <v>5000000</v>
      </c>
      <c r="I30" s="22">
        <f t="shared" si="7"/>
        <v>15000000</v>
      </c>
      <c r="J30" s="22">
        <f t="shared" si="7"/>
        <v>15000000</v>
      </c>
      <c r="K30" s="22">
        <f t="shared" si="7"/>
        <v>15000000</v>
      </c>
      <c r="L30" s="22">
        <f t="shared" si="7"/>
        <v>15000000</v>
      </c>
      <c r="M30" s="22">
        <f t="shared" si="7"/>
        <v>15000000</v>
      </c>
      <c r="N30" s="22">
        <f t="shared" si="7"/>
        <v>15000000</v>
      </c>
      <c r="O30" s="22">
        <f t="shared" si="7"/>
        <v>20000000</v>
      </c>
      <c r="P30" s="22">
        <f t="shared" si="7"/>
        <v>20000000</v>
      </c>
      <c r="Q30" s="22">
        <f t="shared" si="7"/>
        <v>20000000</v>
      </c>
      <c r="R30" s="22">
        <f t="shared" si="7"/>
        <v>20000000</v>
      </c>
      <c r="S30" s="22">
        <f t="shared" si="7"/>
        <v>20000000</v>
      </c>
      <c r="T30" s="22">
        <f t="shared" si="7"/>
        <v>20000000</v>
      </c>
    </row>
    <row r="31" spans="1:20" x14ac:dyDescent="0.15">
      <c r="B31" s="7" t="s">
        <v>214</v>
      </c>
      <c r="C31" s="23"/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f>H31+H32</f>
        <v>-3941073.75</v>
      </c>
      <c r="J31" s="22">
        <f>I31</f>
        <v>-3941073.75</v>
      </c>
      <c r="K31" s="22">
        <f>J31</f>
        <v>-3941073.75</v>
      </c>
      <c r="L31" s="22">
        <f>K31</f>
        <v>-3941073.75</v>
      </c>
      <c r="M31" s="22">
        <f>L31+L32</f>
        <v>-7881264.9582734378</v>
      </c>
      <c r="N31" s="22">
        <f>M31</f>
        <v>-7881264.9582734378</v>
      </c>
      <c r="O31" s="22">
        <f>N31</f>
        <v>-7881264.9582734378</v>
      </c>
      <c r="P31" s="22">
        <f>O31</f>
        <v>-7881264.9582734378</v>
      </c>
      <c r="Q31" s="22">
        <f>P31+P32</f>
        <v>-7777922.0620447043</v>
      </c>
      <c r="R31" s="22">
        <f>Q31</f>
        <v>-7777922.0620447043</v>
      </c>
      <c r="S31" s="22">
        <f>R31</f>
        <v>-7777922.0620447043</v>
      </c>
      <c r="T31" s="22">
        <f>S31</f>
        <v>-7777922.0620447043</v>
      </c>
    </row>
    <row r="32" spans="1:20" s="64" customFormat="1" x14ac:dyDescent="0.15">
      <c r="A32" s="1"/>
      <c r="B32" s="7" t="s">
        <v>215</v>
      </c>
      <c r="C32" s="110" t="s">
        <v>64</v>
      </c>
      <c r="D32" s="29">
        <v>0</v>
      </c>
      <c r="E32" s="29">
        <f>D32+'P &amp; L by Qtr'!E24</f>
        <v>-1110700</v>
      </c>
      <c r="F32" s="29">
        <f>E32+'P &amp; L by Qtr'!F24</f>
        <v>-2127500</v>
      </c>
      <c r="G32" s="29">
        <f>F32+'P &amp; L by Qtr'!G24</f>
        <v>-3087725</v>
      </c>
      <c r="H32" s="29">
        <f>G32+'P &amp; L by Qtr'!H24</f>
        <v>-3941073.75</v>
      </c>
      <c r="I32" s="29">
        <f>'P &amp; L by Qtr'!I24</f>
        <v>-1164688.8125</v>
      </c>
      <c r="J32" s="29">
        <f>I32+'P &amp; L by Qtr'!J24</f>
        <v>-2317788.1843750002</v>
      </c>
      <c r="K32" s="29">
        <f>J32+'P &amp; L by Qtr'!K24</f>
        <v>-3240578.8376562502</v>
      </c>
      <c r="L32" s="29">
        <f>K32+'P &amp; L by Qtr'!L24</f>
        <v>-3940191.2082734378</v>
      </c>
      <c r="M32" s="29">
        <f>'P &amp; L by Qtr'!M24</f>
        <v>-748371.75208632834</v>
      </c>
      <c r="N32" s="29">
        <f>M32+'P &amp; L by Qtr'!N24</f>
        <v>-1454854.9165683403</v>
      </c>
      <c r="O32" s="29">
        <f>N32+'P &amp; L by Qtr'!O24</f>
        <v>-1323046.4228262515</v>
      </c>
      <c r="P32" s="29">
        <f>O32+'P &amp; L by Qtr'!P24</f>
        <v>103342.89622873301</v>
      </c>
      <c r="Q32" s="29">
        <f>'P &amp; L by Qtr'!Q24</f>
        <v>1721259.8531022351</v>
      </c>
      <c r="R32" s="29">
        <f>Q32+'P &amp; L by Qtr'!R24</f>
        <v>4393607.9635493588</v>
      </c>
      <c r="S32" s="29">
        <f>R32+'P &amp; L by Qtr'!S24</f>
        <v>7770601.1684741247</v>
      </c>
      <c r="T32" s="29">
        <f>S32+'P &amp; L by Qtr'!T24</f>
        <v>12034467.213152653</v>
      </c>
    </row>
    <row r="33" spans="1:20" ht="14" thickBot="1" x14ac:dyDescent="0.2">
      <c r="B33" s="126" t="s">
        <v>256</v>
      </c>
      <c r="D33" s="27">
        <f>SUM(D30:D32)</f>
        <v>5000000</v>
      </c>
      <c r="E33" s="27">
        <f>SUM(E30:E32)</f>
        <v>3889300</v>
      </c>
      <c r="F33" s="27">
        <f t="shared" ref="F33:T33" si="8">SUM(F30:F32)</f>
        <v>2872500</v>
      </c>
      <c r="G33" s="27">
        <f t="shared" si="8"/>
        <v>1912275</v>
      </c>
      <c r="H33" s="27">
        <f t="shared" si="8"/>
        <v>1058926.25</v>
      </c>
      <c r="I33" s="27">
        <f t="shared" si="8"/>
        <v>9894237.4375</v>
      </c>
      <c r="J33" s="27">
        <f t="shared" si="8"/>
        <v>8741138.0656250007</v>
      </c>
      <c r="K33" s="27">
        <f t="shared" si="8"/>
        <v>7818347.4123437498</v>
      </c>
      <c r="L33" s="27">
        <f t="shared" si="8"/>
        <v>7118735.0417265622</v>
      </c>
      <c r="M33" s="27">
        <f t="shared" si="8"/>
        <v>6370363.2896402339</v>
      </c>
      <c r="N33" s="27">
        <f t="shared" si="8"/>
        <v>5663880.1251582224</v>
      </c>
      <c r="O33" s="27">
        <f t="shared" si="8"/>
        <v>10795688.618900312</v>
      </c>
      <c r="P33" s="27">
        <f t="shared" si="8"/>
        <v>12222077.937955296</v>
      </c>
      <c r="Q33" s="27">
        <f t="shared" si="8"/>
        <v>13943337.791057531</v>
      </c>
      <c r="R33" s="27">
        <f t="shared" si="8"/>
        <v>16615685.901504654</v>
      </c>
      <c r="S33" s="27">
        <f t="shared" si="8"/>
        <v>19992679.10642942</v>
      </c>
      <c r="T33" s="27">
        <f t="shared" si="8"/>
        <v>24256545.151107948</v>
      </c>
    </row>
    <row r="34" spans="1:20" ht="14" thickBot="1" x14ac:dyDescent="0.2">
      <c r="B34" s="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" thickBot="1" x14ac:dyDescent="0.2">
      <c r="B35" s="2" t="s">
        <v>216</v>
      </c>
      <c r="D35" s="26">
        <f>D27+D33</f>
        <v>5000000</v>
      </c>
      <c r="E35" s="26">
        <f t="shared" ref="E35:T35" si="9">E27+E33</f>
        <v>4011900</v>
      </c>
      <c r="F35" s="26">
        <f t="shared" si="9"/>
        <v>3013400</v>
      </c>
      <c r="G35" s="26">
        <f t="shared" si="9"/>
        <v>2066875</v>
      </c>
      <c r="H35" s="26">
        <f t="shared" si="9"/>
        <v>1260126.25</v>
      </c>
      <c r="I35" s="26">
        <f t="shared" si="9"/>
        <v>10132737.4375</v>
      </c>
      <c r="J35" s="26">
        <f t="shared" si="9"/>
        <v>9042038.0656250007</v>
      </c>
      <c r="K35" s="26">
        <f t="shared" si="9"/>
        <v>8126547.4123437498</v>
      </c>
      <c r="L35" s="26">
        <f t="shared" si="9"/>
        <v>7511035.0417265622</v>
      </c>
      <c r="M35" s="26">
        <f t="shared" si="9"/>
        <v>6838763.2896402339</v>
      </c>
      <c r="N35" s="26">
        <f t="shared" si="9"/>
        <v>6233580.1251582224</v>
      </c>
      <c r="O35" s="26">
        <f t="shared" si="9"/>
        <v>11363888.618900312</v>
      </c>
      <c r="P35" s="26">
        <f t="shared" si="9"/>
        <v>12912977.937955296</v>
      </c>
      <c r="Q35" s="26">
        <f t="shared" si="9"/>
        <v>14685337.791057531</v>
      </c>
      <c r="R35" s="26">
        <f t="shared" si="9"/>
        <v>17543185.901504654</v>
      </c>
      <c r="S35" s="26">
        <f t="shared" si="9"/>
        <v>20893879.10642942</v>
      </c>
      <c r="T35" s="26">
        <f t="shared" si="9"/>
        <v>25332145.151107948</v>
      </c>
    </row>
    <row r="36" spans="1:20" x14ac:dyDescent="0.15">
      <c r="E36" s="17">
        <f>E35-E15</f>
        <v>0</v>
      </c>
      <c r="F36" s="17">
        <f t="shared" ref="F36:T36" si="10">F35-F15</f>
        <v>0</v>
      </c>
      <c r="G36" s="17">
        <f t="shared" si="10"/>
        <v>0</v>
      </c>
      <c r="H36" s="17">
        <f t="shared" si="10"/>
        <v>0</v>
      </c>
      <c r="I36" s="17">
        <f t="shared" si="10"/>
        <v>-214200</v>
      </c>
      <c r="J36" s="17">
        <f t="shared" si="10"/>
        <v>0</v>
      </c>
      <c r="K36" s="17">
        <f t="shared" si="10"/>
        <v>0</v>
      </c>
      <c r="L36" s="17">
        <f t="shared" si="10"/>
        <v>0</v>
      </c>
      <c r="M36" s="17">
        <f t="shared" si="10"/>
        <v>0</v>
      </c>
      <c r="N36" s="17">
        <f t="shared" si="10"/>
        <v>0</v>
      </c>
      <c r="O36" s="17">
        <f t="shared" si="10"/>
        <v>0</v>
      </c>
      <c r="P36" s="17">
        <f t="shared" si="10"/>
        <v>0</v>
      </c>
      <c r="Q36" s="17">
        <f t="shared" si="10"/>
        <v>0</v>
      </c>
      <c r="R36" s="17">
        <f t="shared" si="10"/>
        <v>0</v>
      </c>
      <c r="S36" s="17">
        <f t="shared" si="10"/>
        <v>0</v>
      </c>
      <c r="T36" s="17">
        <f t="shared" si="10"/>
        <v>0</v>
      </c>
    </row>
    <row r="37" spans="1:20" x14ac:dyDescent="0.15">
      <c r="A37" s="1" t="s">
        <v>217</v>
      </c>
    </row>
    <row r="38" spans="1:20" s="10" customFormat="1" x14ac:dyDescent="0.15">
      <c r="A38" s="1"/>
      <c r="B38" s="2" t="s">
        <v>218</v>
      </c>
      <c r="C38" s="110" t="s">
        <v>148</v>
      </c>
      <c r="D38" s="23">
        <f>'CapEx and Simple Cash Flow'!D17</f>
        <v>5000000</v>
      </c>
      <c r="E38" s="23">
        <f>'CapEx and Simple Cash Flow'!E17</f>
        <v>0</v>
      </c>
      <c r="F38" s="23">
        <f>'CapEx and Simple Cash Flow'!F17</f>
        <v>0</v>
      </c>
      <c r="G38" s="23">
        <f>'CapEx and Simple Cash Flow'!G17</f>
        <v>0</v>
      </c>
      <c r="H38" s="23">
        <f>'CapEx and Simple Cash Flow'!H17</f>
        <v>0</v>
      </c>
      <c r="I38" s="23">
        <f>'CapEx and Simple Cash Flow'!I17</f>
        <v>10000000</v>
      </c>
      <c r="J38" s="23">
        <f>'CapEx and Simple Cash Flow'!J17</f>
        <v>0</v>
      </c>
      <c r="K38" s="23">
        <f>'CapEx and Simple Cash Flow'!K17</f>
        <v>0</v>
      </c>
      <c r="L38" s="23">
        <f>'CapEx and Simple Cash Flow'!L17</f>
        <v>0</v>
      </c>
      <c r="M38" s="23">
        <f>'CapEx and Simple Cash Flow'!M17</f>
        <v>0</v>
      </c>
      <c r="N38" s="23">
        <f>'CapEx and Simple Cash Flow'!N17</f>
        <v>0</v>
      </c>
      <c r="O38" s="23">
        <f>'CapEx and Simple Cash Flow'!O17</f>
        <v>5000000</v>
      </c>
      <c r="P38" s="23">
        <f>'CapEx and Simple Cash Flow'!P17</f>
        <v>0</v>
      </c>
      <c r="Q38" s="23">
        <f>'CapEx and Simple Cash Flow'!Q17</f>
        <v>0</v>
      </c>
      <c r="R38" s="23">
        <f>'CapEx and Simple Cash Flow'!R17</f>
        <v>0</v>
      </c>
      <c r="S38" s="23">
        <f>'CapEx and Simple Cash Flow'!S17</f>
        <v>0</v>
      </c>
      <c r="T38" s="23">
        <f>'CapEx and Simple Cash Flow'!T17</f>
        <v>0</v>
      </c>
    </row>
    <row r="41" spans="1:20" x14ac:dyDescent="0.15">
      <c r="A41" s="1" t="s">
        <v>90</v>
      </c>
      <c r="F41" s="17"/>
    </row>
    <row r="42" spans="1:20" x14ac:dyDescent="0.15">
      <c r="B42" s="19" t="s">
        <v>80</v>
      </c>
    </row>
    <row r="43" spans="1:20" x14ac:dyDescent="0.15">
      <c r="B43" s="19" t="s">
        <v>81</v>
      </c>
    </row>
    <row r="44" spans="1:20" x14ac:dyDescent="0.15">
      <c r="B44" s="19" t="s">
        <v>82</v>
      </c>
    </row>
    <row r="45" spans="1:20" x14ac:dyDescent="0.15">
      <c r="B45" s="19" t="s">
        <v>83</v>
      </c>
    </row>
  </sheetData>
  <phoneticPr fontId="3" type="noConversion"/>
  <printOptions gridLines="1"/>
  <pageMargins left="0.25" right="0.25" top="0.75" bottom="0.5" header="0.5" footer="0.5"/>
  <pageSetup scale="88" fitToWidth="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Title Page</vt:lpstr>
      <vt:lpstr>P &amp; L by Year</vt:lpstr>
      <vt:lpstr>P &amp; L by Qtr</vt:lpstr>
      <vt:lpstr>Sales Plan</vt:lpstr>
      <vt:lpstr>COGS</vt:lpstr>
      <vt:lpstr>Staffing Plan</vt:lpstr>
      <vt:lpstr>Expenses</vt:lpstr>
      <vt:lpstr>CapEx and Simple Cash Flow</vt:lpstr>
      <vt:lpstr>Balance Sheet</vt:lpstr>
      <vt:lpstr>Cash Flow</vt:lpstr>
      <vt:lpstr>'Balance Sheet'!Print_Area</vt:lpstr>
      <vt:lpstr>'CapEx and Simple Cash Flow'!Print_Area</vt:lpstr>
      <vt:lpstr>'Cash Flow'!Print_Area</vt:lpstr>
      <vt:lpstr>Expenses!Print_Area</vt:lpstr>
      <vt:lpstr>'Sales Plan'!Print_Area</vt:lpstr>
      <vt:lpstr>'Staffing Plan'!Print_Area</vt:lpstr>
      <vt:lpstr>'Balance Sheet'!Print_Titles</vt:lpstr>
      <vt:lpstr>'CapEx and Simple Cash Flow'!Print_Titles</vt:lpstr>
      <vt:lpstr>'Cash Flow'!Print_Titles</vt:lpstr>
      <vt:lpstr>COGS!Print_Titles</vt:lpstr>
      <vt:lpstr>Expenses!Print_Titles</vt:lpstr>
      <vt:lpstr>'P &amp; L by Qtr'!Print_Titles</vt:lpstr>
      <vt:lpstr>'P &amp; L by Year'!Print_Titles</vt:lpstr>
      <vt:lpstr>'Sales Plan'!Print_Titles</vt:lpstr>
      <vt:lpstr>'Staffing Plan'!Print_Titles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Charles Tillett</dc:creator>
  <cp:keywords/>
  <dc:description/>
  <cp:lastModifiedBy>charles tillett</cp:lastModifiedBy>
  <cp:lastPrinted>2003-01-13T13:20:49Z</cp:lastPrinted>
  <dcterms:created xsi:type="dcterms:W3CDTF">1997-01-15T21:35:29Z</dcterms:created>
  <dcterms:modified xsi:type="dcterms:W3CDTF">2023-10-10T13:12:52Z</dcterms:modified>
</cp:coreProperties>
</file>